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joanna_huang_utc_wa_gov/Documents/Documents/PacifiCorp/GRC/UE-230172 GRC/HUANG/JH 5-12-2023/"/>
    </mc:Choice>
  </mc:AlternateContent>
  <xr:revisionPtr revIDLastSave="0" documentId="14_{D77B28D2-C13C-402F-9254-494F2035CB2D}" xr6:coauthVersionLast="47" xr6:coauthVersionMax="47" xr10:uidLastSave="{00000000-0000-0000-0000-000000000000}"/>
  <bookViews>
    <workbookView xWindow="28680" yWindow="-120" windowWidth="29040" windowHeight="17640" tabRatio="850" autoFilterDateGrouping="0" xr2:uid="{00000000-000D-0000-FFFF-FFFF00000000}"/>
  </bookViews>
  <sheets>
    <sheet name="Summary" sheetId="4" r:id="rId1"/>
    <sheet name="Pro Forma Adj" sheetId="1" r:id="rId2"/>
    <sheet name="ROR &amp; Conversion Factor" sheetId="3" r:id="rId3"/>
    <sheet name="Interest Calc-Exh JH-4" sheetId="7" r:id="rId4"/>
    <sheet name="COMPARISON" sheetId="21" r:id="rId5"/>
    <sheet name="Exhibit No. SLC-3 pg 1" sheetId="16" r:id="rId6"/>
    <sheet name="Exhibit No. SLC-3 pg 2 - 3" sheetId="15" r:id="rId7"/>
    <sheet name="Exhibit No. SLC-5 pg 3" sheetId="11" r:id="rId8"/>
    <sheet name="Tab 13" sheetId="17" r:id="rId9"/>
    <sheet name="Tab 14" sheetId="18" r:id="rId10"/>
    <sheet name="Tab 15" sheetId="19" r:id="rId11"/>
    <sheet name="Tab 16" sheetId="20" r:id="rId12"/>
    <sheet name="Sheet1" sheetId="22" r:id="rId13"/>
  </sheets>
  <externalReferences>
    <externalReference r:id="rId14"/>
    <externalReference r:id="rId15"/>
    <externalReference r:id="rId16"/>
  </externalReferences>
  <definedNames>
    <definedName name="Cost_Debt">'ROR &amp; Conversion Factor'!$D$10</definedName>
    <definedName name="Cost_equity">'ROR &amp; Conversion Factor'!$D$12</definedName>
    <definedName name="Cost_pref">'ROR &amp; Conversion Factor'!$D$11</definedName>
    <definedName name="gross_up_factor" localSheetId="4">#REF!</definedName>
    <definedName name="gross_up_factor">'ROR &amp; Conversion Factor'!$D$36</definedName>
    <definedName name="ID_Gas">'[1]DEBT CALC'!#REF!</definedName>
    <definedName name="Overall_ROR" localSheetId="4">#REF!</definedName>
    <definedName name="Overall_ROR">'ROR &amp; Conversion Factor'!$E$13</definedName>
    <definedName name="Percent_common" localSheetId="4">#REF!</definedName>
    <definedName name="Percent_common">'ROR &amp; Conversion Factor'!$C$12</definedName>
    <definedName name="Percent_debt">'ROR &amp; Conversion Factor'!$C$10</definedName>
    <definedName name="Percent_pref">'ROR &amp; Conversion Factor'!$C$11</definedName>
    <definedName name="_xlnm.Print_Area" localSheetId="4">COMPARISON!$A$1:$L$37</definedName>
    <definedName name="_xlnm.Print_Area" localSheetId="5">'Exhibit No. SLC-3 pg 1'!$A$1:$G$46</definedName>
    <definedName name="_xlnm.Print_Area" localSheetId="6">'Exhibit No. SLC-3 pg 2 - 3'!$A$1:$L$83</definedName>
    <definedName name="_xlnm.Print_Area" localSheetId="7">'Exhibit No. SLC-5 pg 3'!$A$1:$G$80</definedName>
    <definedName name="_xlnm.Print_Area" localSheetId="1">'Pro Forma Adj'!$A$7:$W$87</definedName>
    <definedName name="_xlnm.Print_Area" localSheetId="2">'ROR &amp; Conversion Factor'!$A$1:$H$36</definedName>
    <definedName name="_xlnm.Print_Area" localSheetId="0">Summary!$A$1:$N$84</definedName>
    <definedName name="_xlnm.Print_Area" localSheetId="8">'Tab 13'!$A$7:$E$86</definedName>
    <definedName name="_xlnm.Print_Area" localSheetId="9">'Tab 14'!$A$7:$L$86</definedName>
    <definedName name="_xlnm.Print_Area" localSheetId="10">'Tab 15'!$A$7:$H$86</definedName>
    <definedName name="_xlnm.Print_Area" localSheetId="11">'Tab 16'!$A$7:$D$86</definedName>
    <definedName name="Print_for_CBReport" localSheetId="4">COMPARISON!$A$11:$J$95</definedName>
    <definedName name="Print_for_Checking" localSheetId="4">COMPARISON!#REF!:COMPARISON!#REF!</definedName>
    <definedName name="Print_for_Checking">'[1]ADJ SUMMARY'!#REF!:'[1]ADJ SUMMARY'!#REF!</definedName>
    <definedName name="_xlnm.Print_Titles" localSheetId="6">'Exhibit No. SLC-3 pg 2 - 3'!$A:$B,'Exhibit No. SLC-3 pg 2 - 3'!$1:$4</definedName>
    <definedName name="_xlnm.Print_Titles" localSheetId="1">'Pro Forma Adj'!$A:$A</definedName>
    <definedName name="_xlnm.Print_Titles" localSheetId="8">'Tab 13'!$A:$A</definedName>
    <definedName name="_xlnm.Print_Titles" localSheetId="9">'Tab 14'!$A:$A</definedName>
    <definedName name="_xlnm.Print_Titles" localSheetId="10">'Tab 15'!$A:$A</definedName>
    <definedName name="_xlnm.Print_Titles" localSheetId="11">'Tab 16'!$A:$A</definedName>
    <definedName name="Restated_Op_revenue">Summary!$J$37</definedName>
    <definedName name="Restated_rate_base">Summary!$J$64</definedName>
    <definedName name="Restated_ROE" localSheetId="4">[2]Summary!$J$67</definedName>
    <definedName name="Restated_ROE">Summary!$J$67</definedName>
    <definedName name="RRC_Adjustment_Print">#REF!</definedName>
    <definedName name="RRC_Rate_Print">#REF!</definedName>
    <definedName name="Summary">#REF!</definedName>
    <definedName name="Unadj_Op_revenue" localSheetId="4">[2]Summary!$F$37</definedName>
    <definedName name="Unadj_Op_revenue">Summary!$F$37</definedName>
    <definedName name="Unadj_rate_base" localSheetId="4">[2]Summary!$F$64</definedName>
    <definedName name="Unadj_rate_base">Summary!$F$64</definedName>
    <definedName name="Unadj_ROE" localSheetId="4">[2]Summary!$F$67</definedName>
    <definedName name="Unadj_ROE">Summary!$F$67</definedName>
    <definedName name="uncollectible_perc" localSheetId="4">#REF!</definedName>
    <definedName name="uncollectible_perc">'ROR &amp; Conversion Factor'!$D$22</definedName>
    <definedName name="WA_Gas">'[1]DEBT CALC'!#REF!</definedName>
    <definedName name="WA_rev_tax_perc" localSheetId="4">#REF!</definedName>
    <definedName name="WA_rev_tax_perc">'ROR &amp; Conversion Factor'!$D$24</definedName>
    <definedName name="Weighted_cost_debt" localSheetId="4">#REF!</definedName>
    <definedName name="Weighted_cost_debt">'ROR &amp; Conversion Factor'!$E$10</definedName>
    <definedName name="Weighted_cost_equity">'ROR &amp; Conversion Factor'!$E$12</definedName>
    <definedName name="Weighted_cost_pref" localSheetId="4">#REF!</definedName>
    <definedName name="Weighted_cost_pref">'ROR &amp; Conversion Factor'!$E$11</definedName>
    <definedName name="WUTC_reg_fee_perc" localSheetId="4">#REF!</definedName>
    <definedName name="WUTC_reg_fee_perc">'ROR &amp; Conversion Factor'!$D$23</definedName>
    <definedName name="Z_6E1B8C45_B07F_11D2_B0DC_0000832CDFF0_.wvu.PrintArea" localSheetId="4" hidden="1">COMPARISON!$A$11:$J$76</definedName>
    <definedName name="Z_6E1B8C45_B07F_11D2_B0DC_0000832CDFF0_.wvu.Rows" localSheetId="4" hidden="1">COMPARISON!#REF!,COMPARISON!$24:$31,COMPARISON!#REF!,COMPARISON!$32:$37,COMPARISON!$68:$68,COMPARISON!$70:$70,COMPARISON!$77:$95</definedName>
    <definedName name="Z_A15D1962_B049_11D2_8670_0000832CEEE8_.wvu.Rows" localSheetId="4" hidden="1">COMPARISON!$32:$32,COMPARISON!$76:$95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1" l="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10" i="21"/>
  <c r="H32" i="21"/>
  <c r="J14" i="21" l="1"/>
  <c r="J18" i="21"/>
  <c r="J22" i="21"/>
  <c r="J26" i="21"/>
  <c r="J30" i="21"/>
  <c r="J23" i="21"/>
  <c r="J31" i="21"/>
  <c r="J13" i="21"/>
  <c r="J21" i="21"/>
  <c r="J29" i="21"/>
  <c r="J11" i="21"/>
  <c r="J15" i="21"/>
  <c r="J19" i="21"/>
  <c r="J27" i="21"/>
  <c r="J17" i="21"/>
  <c r="J25" i="21"/>
  <c r="J12" i="21"/>
  <c r="J16" i="21"/>
  <c r="J20" i="21"/>
  <c r="J24" i="21"/>
  <c r="J28" i="21"/>
  <c r="J10" i="21"/>
  <c r="J32" i="21" l="1"/>
  <c r="C66" i="4"/>
  <c r="E66" i="4"/>
  <c r="G66" i="4"/>
  <c r="I66" i="4"/>
  <c r="K66" i="4"/>
  <c r="M66" i="4"/>
  <c r="I32" i="21"/>
  <c r="G32" i="21"/>
  <c r="L34" i="21"/>
  <c r="F32" i="21"/>
  <c r="E32" i="21"/>
  <c r="L31" i="21"/>
  <c r="G31" i="21"/>
  <c r="L30" i="21"/>
  <c r="G30" i="21"/>
  <c r="L29" i="21"/>
  <c r="G29" i="21"/>
  <c r="L28" i="21"/>
  <c r="G28" i="21"/>
  <c r="L27" i="21"/>
  <c r="G27" i="21"/>
  <c r="L26" i="21"/>
  <c r="G26" i="21"/>
  <c r="L25" i="21"/>
  <c r="G25" i="21"/>
  <c r="L24" i="21"/>
  <c r="G24" i="21"/>
  <c r="L23" i="21"/>
  <c r="G23" i="21"/>
  <c r="L22" i="21"/>
  <c r="G22" i="21"/>
  <c r="L21" i="21"/>
  <c r="G21" i="21"/>
  <c r="L20" i="21"/>
  <c r="G20" i="21"/>
  <c r="L19" i="21"/>
  <c r="G19" i="21"/>
  <c r="L18" i="21"/>
  <c r="G18" i="21"/>
  <c r="L17" i="21"/>
  <c r="G17" i="21"/>
  <c r="L16" i="21"/>
  <c r="G16" i="21"/>
  <c r="L15" i="21"/>
  <c r="G15" i="21"/>
  <c r="G14" i="21"/>
  <c r="L13" i="21"/>
  <c r="G13" i="21"/>
  <c r="L12" i="21"/>
  <c r="G12" i="21"/>
  <c r="L11" i="21"/>
  <c r="G11" i="21"/>
  <c r="L10" i="21"/>
  <c r="G10" i="21"/>
  <c r="E9" i="3"/>
  <c r="C11" i="7" s="1"/>
  <c r="C12" i="3"/>
  <c r="E12" i="3" s="1"/>
  <c r="E13" i="3" s="1"/>
  <c r="D28" i="3"/>
  <c r="D32" i="3"/>
  <c r="D34" i="3" s="1"/>
  <c r="D36" i="3" s="1"/>
  <c r="G33" i="19"/>
  <c r="T34" i="1"/>
  <c r="D78" i="20"/>
  <c r="C78" i="20"/>
  <c r="D77" i="20"/>
  <c r="C77" i="20"/>
  <c r="D76" i="20"/>
  <c r="C76" i="20"/>
  <c r="B76" i="20"/>
  <c r="D75" i="20"/>
  <c r="C75" i="20"/>
  <c r="B75" i="20"/>
  <c r="D74" i="20"/>
  <c r="C74" i="20"/>
  <c r="D63" i="20"/>
  <c r="C63" i="20"/>
  <c r="D62" i="20"/>
  <c r="C62" i="20"/>
  <c r="D61" i="20"/>
  <c r="C61" i="20"/>
  <c r="B61" i="20"/>
  <c r="D60" i="20"/>
  <c r="C60" i="20"/>
  <c r="B60" i="20"/>
  <c r="D59" i="20"/>
  <c r="C59" i="20"/>
  <c r="D58" i="20"/>
  <c r="C58" i="20"/>
  <c r="D57" i="20"/>
  <c r="C57" i="20"/>
  <c r="D56" i="20"/>
  <c r="C56" i="20"/>
  <c r="B56" i="20"/>
  <c r="D52" i="20"/>
  <c r="C52" i="20"/>
  <c r="D51" i="20"/>
  <c r="C51" i="20"/>
  <c r="D50" i="20"/>
  <c r="C50" i="20"/>
  <c r="B50" i="20"/>
  <c r="D49" i="20"/>
  <c r="C49" i="20"/>
  <c r="B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C53" i="20"/>
  <c r="D36" i="20"/>
  <c r="C36" i="20"/>
  <c r="D35" i="20"/>
  <c r="C35" i="20"/>
  <c r="D34" i="20"/>
  <c r="C34" i="20"/>
  <c r="B34" i="20"/>
  <c r="D31" i="20"/>
  <c r="C31" i="20"/>
  <c r="D30" i="20"/>
  <c r="C30" i="20"/>
  <c r="D29" i="20"/>
  <c r="C29" i="20"/>
  <c r="B29" i="20"/>
  <c r="D27" i="20"/>
  <c r="C27" i="20"/>
  <c r="D26" i="20"/>
  <c r="C26" i="20"/>
  <c r="D25" i="20"/>
  <c r="C25" i="20"/>
  <c r="B25" i="20"/>
  <c r="D24" i="20"/>
  <c r="C24" i="20"/>
  <c r="B24" i="20"/>
  <c r="D23" i="20"/>
  <c r="C23" i="20"/>
  <c r="D22" i="20"/>
  <c r="C22" i="20"/>
  <c r="D21" i="20"/>
  <c r="C21" i="20"/>
  <c r="B21" i="20"/>
  <c r="D20" i="20"/>
  <c r="D18" i="20"/>
  <c r="D19" i="20"/>
  <c r="D28" i="20"/>
  <c r="C20" i="20"/>
  <c r="C18" i="20"/>
  <c r="C19" i="20"/>
  <c r="C28" i="20"/>
  <c r="D14" i="20"/>
  <c r="C14" i="20"/>
  <c r="D13" i="20"/>
  <c r="C13" i="20"/>
  <c r="D12" i="20"/>
  <c r="C12" i="20"/>
  <c r="B12" i="20"/>
  <c r="D11" i="20"/>
  <c r="D15" i="20"/>
  <c r="C11" i="20"/>
  <c r="B11" i="20"/>
  <c r="D8" i="20"/>
  <c r="C8" i="20"/>
  <c r="D7" i="20"/>
  <c r="C7" i="20"/>
  <c r="H78" i="19"/>
  <c r="G78" i="19"/>
  <c r="F78" i="19"/>
  <c r="E78" i="19"/>
  <c r="D78" i="19"/>
  <c r="C78" i="19"/>
  <c r="H77" i="19"/>
  <c r="G77" i="19"/>
  <c r="F77" i="19"/>
  <c r="E77" i="19"/>
  <c r="D77" i="19"/>
  <c r="C77" i="19"/>
  <c r="H76" i="19"/>
  <c r="G76" i="19"/>
  <c r="F76" i="19"/>
  <c r="E76" i="19"/>
  <c r="D76" i="19"/>
  <c r="H75" i="19"/>
  <c r="G75" i="19"/>
  <c r="F75" i="19"/>
  <c r="E75" i="19"/>
  <c r="D75" i="19"/>
  <c r="C75" i="19"/>
  <c r="B75" i="19"/>
  <c r="H74" i="19"/>
  <c r="G74" i="19"/>
  <c r="F74" i="19"/>
  <c r="E74" i="19"/>
  <c r="D74" i="19"/>
  <c r="C74" i="19"/>
  <c r="H63" i="19"/>
  <c r="G63" i="19"/>
  <c r="F63" i="19"/>
  <c r="E63" i="19"/>
  <c r="D63" i="19"/>
  <c r="C63" i="19"/>
  <c r="H62" i="19"/>
  <c r="G62" i="19"/>
  <c r="F62" i="19"/>
  <c r="E62" i="19"/>
  <c r="D62" i="19"/>
  <c r="C62" i="19"/>
  <c r="H61" i="19"/>
  <c r="G61" i="19"/>
  <c r="F61" i="19"/>
  <c r="E61" i="19"/>
  <c r="D61" i="19"/>
  <c r="C61" i="19"/>
  <c r="H60" i="19"/>
  <c r="G60" i="19"/>
  <c r="F60" i="19"/>
  <c r="E60" i="19"/>
  <c r="D60" i="19"/>
  <c r="C60" i="19"/>
  <c r="B60" i="19"/>
  <c r="H59" i="19"/>
  <c r="G59" i="19"/>
  <c r="F59" i="19"/>
  <c r="E59" i="19"/>
  <c r="D59" i="19"/>
  <c r="C59" i="19"/>
  <c r="H58" i="19"/>
  <c r="H56" i="19"/>
  <c r="H57" i="19"/>
  <c r="H64" i="19"/>
  <c r="G58" i="19"/>
  <c r="F58" i="19"/>
  <c r="E58" i="19"/>
  <c r="D58" i="19"/>
  <c r="C58" i="19"/>
  <c r="G57" i="19"/>
  <c r="G56" i="19"/>
  <c r="G64" i="19"/>
  <c r="F57" i="19"/>
  <c r="F56" i="19"/>
  <c r="F64" i="19"/>
  <c r="E57" i="19"/>
  <c r="C57" i="19"/>
  <c r="D57" i="19"/>
  <c r="B57" i="19"/>
  <c r="E56" i="19"/>
  <c r="D56" i="19"/>
  <c r="D64" i="19"/>
  <c r="C56" i="19"/>
  <c r="C64" i="19"/>
  <c r="H52" i="19"/>
  <c r="G52" i="19"/>
  <c r="F52" i="19"/>
  <c r="E52" i="19"/>
  <c r="D52" i="19"/>
  <c r="C52" i="19"/>
  <c r="B52" i="19"/>
  <c r="H51" i="19"/>
  <c r="G51" i="19"/>
  <c r="F51" i="19"/>
  <c r="E51" i="19"/>
  <c r="D51" i="19"/>
  <c r="C51" i="19"/>
  <c r="B51" i="19"/>
  <c r="H50" i="19"/>
  <c r="G50" i="19"/>
  <c r="F50" i="19"/>
  <c r="E50" i="19"/>
  <c r="C50" i="19"/>
  <c r="D50" i="19"/>
  <c r="B50" i="19"/>
  <c r="H49" i="19"/>
  <c r="G49" i="19"/>
  <c r="F49" i="19"/>
  <c r="E49" i="19"/>
  <c r="D49" i="19"/>
  <c r="C49" i="19"/>
  <c r="H48" i="19"/>
  <c r="G48" i="19"/>
  <c r="F48" i="19"/>
  <c r="C48" i="19"/>
  <c r="D48" i="19"/>
  <c r="E48" i="19"/>
  <c r="B48" i="19"/>
  <c r="H47" i="19"/>
  <c r="G47" i="19"/>
  <c r="F47" i="19"/>
  <c r="E47" i="19"/>
  <c r="D47" i="19"/>
  <c r="C47" i="19"/>
  <c r="B47" i="19"/>
  <c r="H46" i="19"/>
  <c r="G46" i="19"/>
  <c r="F46" i="19"/>
  <c r="E46" i="19"/>
  <c r="C46" i="19"/>
  <c r="D46" i="19"/>
  <c r="B46" i="19"/>
  <c r="H45" i="19"/>
  <c r="G45" i="19"/>
  <c r="F45" i="19"/>
  <c r="E45" i="19"/>
  <c r="D45" i="19"/>
  <c r="C45" i="19"/>
  <c r="B45" i="19"/>
  <c r="H44" i="19"/>
  <c r="G44" i="19"/>
  <c r="F44" i="19"/>
  <c r="E44" i="19"/>
  <c r="D44" i="19"/>
  <c r="C44" i="19"/>
  <c r="C42" i="19"/>
  <c r="C43" i="19"/>
  <c r="C53" i="19"/>
  <c r="H43" i="19"/>
  <c r="G43" i="19"/>
  <c r="G42" i="19"/>
  <c r="G53" i="19"/>
  <c r="F43" i="19"/>
  <c r="E43" i="19"/>
  <c r="D43" i="19"/>
  <c r="B43" i="19"/>
  <c r="H42" i="19"/>
  <c r="F42" i="19"/>
  <c r="F53" i="19"/>
  <c r="E42" i="19"/>
  <c r="E53" i="19"/>
  <c r="D42" i="19"/>
  <c r="H36" i="19"/>
  <c r="G36" i="19"/>
  <c r="F36" i="19"/>
  <c r="E36" i="19"/>
  <c r="D36" i="19"/>
  <c r="C36" i="19"/>
  <c r="H35" i="19"/>
  <c r="G35" i="19"/>
  <c r="C35" i="19"/>
  <c r="D35" i="19"/>
  <c r="E35" i="19"/>
  <c r="F35" i="19"/>
  <c r="B35" i="19"/>
  <c r="H34" i="19"/>
  <c r="G34" i="19"/>
  <c r="F34" i="19"/>
  <c r="E34" i="19"/>
  <c r="D34" i="19"/>
  <c r="C34" i="19"/>
  <c r="H31" i="19"/>
  <c r="G31" i="19"/>
  <c r="F31" i="19"/>
  <c r="E31" i="19"/>
  <c r="D31" i="19"/>
  <c r="C31" i="19"/>
  <c r="B31" i="19"/>
  <c r="H30" i="19"/>
  <c r="G30" i="19"/>
  <c r="C30" i="19"/>
  <c r="D30" i="19"/>
  <c r="E30" i="19"/>
  <c r="F30" i="19"/>
  <c r="B30" i="19"/>
  <c r="H29" i="19"/>
  <c r="G29" i="19"/>
  <c r="F29" i="19"/>
  <c r="E29" i="19"/>
  <c r="D29" i="19"/>
  <c r="C29" i="19"/>
  <c r="H27" i="19"/>
  <c r="G27" i="19"/>
  <c r="F27" i="19"/>
  <c r="E27" i="19"/>
  <c r="D27" i="19"/>
  <c r="C27" i="19"/>
  <c r="H26" i="19"/>
  <c r="G26" i="19"/>
  <c r="C26" i="19"/>
  <c r="D26" i="19"/>
  <c r="E26" i="19"/>
  <c r="F26" i="19"/>
  <c r="B26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H22" i="19"/>
  <c r="G22" i="19"/>
  <c r="C22" i="19"/>
  <c r="D22" i="19"/>
  <c r="E22" i="19"/>
  <c r="F22" i="19"/>
  <c r="B22" i="19"/>
  <c r="H21" i="19"/>
  <c r="G21" i="19"/>
  <c r="F21" i="19"/>
  <c r="F18" i="19"/>
  <c r="F19" i="19"/>
  <c r="F20" i="19"/>
  <c r="F28" i="19"/>
  <c r="E21" i="19"/>
  <c r="C21" i="19"/>
  <c r="D21" i="19"/>
  <c r="B21" i="19"/>
  <c r="H20" i="19"/>
  <c r="G20" i="19"/>
  <c r="E20" i="19"/>
  <c r="E18" i="19"/>
  <c r="E19" i="19"/>
  <c r="E28" i="19"/>
  <c r="D20" i="19"/>
  <c r="D18" i="19"/>
  <c r="D19" i="19"/>
  <c r="D28" i="19"/>
  <c r="C20" i="19"/>
  <c r="B20" i="19"/>
  <c r="H19" i="19"/>
  <c r="G19" i="19"/>
  <c r="C19" i="19"/>
  <c r="C18" i="19"/>
  <c r="C28" i="19"/>
  <c r="H18" i="19"/>
  <c r="G18" i="19"/>
  <c r="G28" i="19"/>
  <c r="H14" i="19"/>
  <c r="G14" i="19"/>
  <c r="F14" i="19"/>
  <c r="E14" i="19"/>
  <c r="D14" i="19"/>
  <c r="C14" i="19"/>
  <c r="H13" i="19"/>
  <c r="G13" i="19"/>
  <c r="C13" i="19"/>
  <c r="D13" i="19"/>
  <c r="E13" i="19"/>
  <c r="F13" i="19"/>
  <c r="B13" i="19"/>
  <c r="H12" i="19"/>
  <c r="H11" i="19"/>
  <c r="H15" i="19"/>
  <c r="G12" i="19"/>
  <c r="F12" i="19"/>
  <c r="F11" i="19"/>
  <c r="F15" i="19"/>
  <c r="E12" i="19"/>
  <c r="C12" i="19"/>
  <c r="D12" i="19"/>
  <c r="B12" i="19"/>
  <c r="G11" i="19"/>
  <c r="E11" i="19"/>
  <c r="D11" i="19"/>
  <c r="C11" i="19"/>
  <c r="C15" i="19"/>
  <c r="H8" i="19"/>
  <c r="G8" i="19"/>
  <c r="F8" i="19"/>
  <c r="E8" i="19"/>
  <c r="D8" i="19"/>
  <c r="C8" i="19"/>
  <c r="H7" i="19"/>
  <c r="G7" i="19"/>
  <c r="F7" i="19"/>
  <c r="E7" i="19"/>
  <c r="D7" i="19"/>
  <c r="C7" i="19"/>
  <c r="B85" i="20"/>
  <c r="B81" i="20"/>
  <c r="B78" i="20"/>
  <c r="B77" i="20"/>
  <c r="B74" i="20"/>
  <c r="B63" i="20"/>
  <c r="B62" i="20"/>
  <c r="B59" i="20"/>
  <c r="B58" i="20"/>
  <c r="B57" i="20"/>
  <c r="B52" i="20"/>
  <c r="B51" i="20"/>
  <c r="B48" i="20"/>
  <c r="B47" i="20"/>
  <c r="B46" i="20"/>
  <c r="B45" i="20"/>
  <c r="B43" i="20"/>
  <c r="B38" i="20"/>
  <c r="B36" i="20"/>
  <c r="B35" i="20"/>
  <c r="B33" i="20"/>
  <c r="B31" i="20"/>
  <c r="B30" i="20"/>
  <c r="B27" i="20"/>
  <c r="B26" i="20"/>
  <c r="B23" i="20"/>
  <c r="B22" i="20"/>
  <c r="B19" i="20"/>
  <c r="B18" i="20"/>
  <c r="B14" i="20"/>
  <c r="B13" i="20"/>
  <c r="B85" i="19"/>
  <c r="B81" i="19"/>
  <c r="B74" i="19"/>
  <c r="B63" i="19"/>
  <c r="B61" i="19"/>
  <c r="B59" i="19"/>
  <c r="H53" i="19"/>
  <c r="D53" i="19"/>
  <c r="B49" i="19"/>
  <c r="B38" i="19"/>
  <c r="B36" i="19"/>
  <c r="B33" i="19"/>
  <c r="H28" i="19"/>
  <c r="B27" i="19"/>
  <c r="B25" i="19"/>
  <c r="B23" i="19"/>
  <c r="B19" i="19"/>
  <c r="D15" i="19"/>
  <c r="B85" i="18"/>
  <c r="B81" i="18"/>
  <c r="C76" i="18"/>
  <c r="D76" i="18"/>
  <c r="E76" i="18"/>
  <c r="F76" i="18"/>
  <c r="G76" i="18"/>
  <c r="H76" i="18"/>
  <c r="I76" i="18"/>
  <c r="J76" i="18"/>
  <c r="K76" i="18"/>
  <c r="L76" i="18"/>
  <c r="B76" i="18"/>
  <c r="C75" i="18"/>
  <c r="D75" i="18"/>
  <c r="E75" i="18"/>
  <c r="F75" i="18"/>
  <c r="G75" i="18"/>
  <c r="H75" i="18"/>
  <c r="I75" i="18"/>
  <c r="J75" i="18"/>
  <c r="K75" i="18"/>
  <c r="L75" i="18"/>
  <c r="B75" i="18"/>
  <c r="C74" i="18"/>
  <c r="D74" i="18"/>
  <c r="E74" i="18"/>
  <c r="F74" i="18"/>
  <c r="G74" i="18"/>
  <c r="H74" i="18"/>
  <c r="I74" i="18"/>
  <c r="J74" i="18"/>
  <c r="K74" i="18"/>
  <c r="L74" i="18"/>
  <c r="B74" i="18"/>
  <c r="B63" i="18"/>
  <c r="C61" i="18"/>
  <c r="D61" i="18"/>
  <c r="E61" i="18"/>
  <c r="F61" i="18"/>
  <c r="G61" i="18"/>
  <c r="H61" i="18"/>
  <c r="I61" i="18"/>
  <c r="J61" i="18"/>
  <c r="K61" i="18"/>
  <c r="L61" i="18"/>
  <c r="B61" i="18"/>
  <c r="C60" i="18"/>
  <c r="D60" i="18"/>
  <c r="E60" i="18"/>
  <c r="F60" i="18"/>
  <c r="G60" i="18"/>
  <c r="H60" i="18"/>
  <c r="I60" i="18"/>
  <c r="J60" i="18"/>
  <c r="K60" i="18"/>
  <c r="L60" i="18"/>
  <c r="B60" i="18"/>
  <c r="C59" i="18"/>
  <c r="D59" i="18"/>
  <c r="E59" i="18"/>
  <c r="F59" i="18"/>
  <c r="G59" i="18"/>
  <c r="H59" i="18"/>
  <c r="I59" i="18"/>
  <c r="J59" i="18"/>
  <c r="K59" i="18"/>
  <c r="L59" i="18"/>
  <c r="B59" i="18"/>
  <c r="C52" i="18"/>
  <c r="D52" i="18"/>
  <c r="E52" i="18"/>
  <c r="F52" i="18"/>
  <c r="G52" i="18"/>
  <c r="H52" i="18"/>
  <c r="I52" i="18"/>
  <c r="J52" i="18"/>
  <c r="K52" i="18"/>
  <c r="L52" i="18"/>
  <c r="B52" i="18"/>
  <c r="C51" i="18"/>
  <c r="D51" i="18"/>
  <c r="E51" i="18"/>
  <c r="F51" i="18"/>
  <c r="G51" i="18"/>
  <c r="H51" i="18"/>
  <c r="I51" i="18"/>
  <c r="J51" i="18"/>
  <c r="K51" i="18"/>
  <c r="L51" i="18"/>
  <c r="B51" i="18"/>
  <c r="C50" i="18"/>
  <c r="D50" i="18"/>
  <c r="E50" i="18"/>
  <c r="F50" i="18"/>
  <c r="G50" i="18"/>
  <c r="H50" i="18"/>
  <c r="I50" i="18"/>
  <c r="J50" i="18"/>
  <c r="K50" i="18"/>
  <c r="L50" i="18"/>
  <c r="B50" i="18"/>
  <c r="C49" i="18"/>
  <c r="D49" i="18"/>
  <c r="E49" i="18"/>
  <c r="F49" i="18"/>
  <c r="G49" i="18"/>
  <c r="H49" i="18"/>
  <c r="I49" i="18"/>
  <c r="J49" i="18"/>
  <c r="K49" i="18"/>
  <c r="L49" i="18"/>
  <c r="B49" i="18"/>
  <c r="C48" i="18"/>
  <c r="D48" i="18"/>
  <c r="E48" i="18"/>
  <c r="F48" i="18"/>
  <c r="G48" i="18"/>
  <c r="H48" i="18"/>
  <c r="I48" i="18"/>
  <c r="J48" i="18"/>
  <c r="K48" i="18"/>
  <c r="L48" i="18"/>
  <c r="B48" i="18"/>
  <c r="C47" i="18"/>
  <c r="D47" i="18"/>
  <c r="E47" i="18"/>
  <c r="F47" i="18"/>
  <c r="G47" i="18"/>
  <c r="H47" i="18"/>
  <c r="I47" i="18"/>
  <c r="J47" i="18"/>
  <c r="K47" i="18"/>
  <c r="L47" i="18"/>
  <c r="B47" i="18"/>
  <c r="C46" i="18"/>
  <c r="D46" i="18"/>
  <c r="E46" i="18"/>
  <c r="F46" i="18"/>
  <c r="G46" i="18"/>
  <c r="H46" i="18"/>
  <c r="I46" i="18"/>
  <c r="J46" i="18"/>
  <c r="K46" i="18"/>
  <c r="L46" i="18"/>
  <c r="B46" i="18"/>
  <c r="C45" i="18"/>
  <c r="D45" i="18"/>
  <c r="E45" i="18"/>
  <c r="F45" i="18"/>
  <c r="G45" i="18"/>
  <c r="H45" i="18"/>
  <c r="I45" i="18"/>
  <c r="J45" i="18"/>
  <c r="K45" i="18"/>
  <c r="L45" i="18"/>
  <c r="B45" i="18"/>
  <c r="C44" i="18"/>
  <c r="D44" i="18"/>
  <c r="E44" i="18"/>
  <c r="F44" i="18"/>
  <c r="G44" i="18"/>
  <c r="H44" i="18"/>
  <c r="I44" i="18"/>
  <c r="J44" i="18"/>
  <c r="K44" i="18"/>
  <c r="L44" i="18"/>
  <c r="B44" i="18"/>
  <c r="C43" i="18"/>
  <c r="D43" i="18"/>
  <c r="E43" i="18"/>
  <c r="F43" i="18"/>
  <c r="G43" i="18"/>
  <c r="H43" i="18"/>
  <c r="I43" i="18"/>
  <c r="J43" i="18"/>
  <c r="K43" i="18"/>
  <c r="L43" i="18"/>
  <c r="B43" i="18"/>
  <c r="B38" i="18"/>
  <c r="C36" i="18"/>
  <c r="D36" i="18"/>
  <c r="E36" i="18"/>
  <c r="F36" i="18"/>
  <c r="G36" i="18"/>
  <c r="H36" i="18"/>
  <c r="I36" i="18"/>
  <c r="J36" i="18"/>
  <c r="K36" i="18"/>
  <c r="L36" i="18"/>
  <c r="B36" i="18"/>
  <c r="C35" i="18"/>
  <c r="D35" i="18"/>
  <c r="E35" i="18"/>
  <c r="F35" i="18"/>
  <c r="G35" i="18"/>
  <c r="H35" i="18"/>
  <c r="I35" i="18"/>
  <c r="J35" i="18"/>
  <c r="K35" i="18"/>
  <c r="L35" i="18"/>
  <c r="B35" i="18"/>
  <c r="B33" i="18"/>
  <c r="C31" i="18"/>
  <c r="D31" i="18"/>
  <c r="E31" i="18"/>
  <c r="F31" i="18"/>
  <c r="G31" i="18"/>
  <c r="H31" i="18"/>
  <c r="I31" i="18"/>
  <c r="J31" i="18"/>
  <c r="K31" i="18"/>
  <c r="L31" i="18"/>
  <c r="B31" i="18"/>
  <c r="C27" i="18"/>
  <c r="D27" i="18"/>
  <c r="E27" i="18"/>
  <c r="F27" i="18"/>
  <c r="G27" i="18"/>
  <c r="H27" i="18"/>
  <c r="I27" i="18"/>
  <c r="J27" i="18"/>
  <c r="K27" i="18"/>
  <c r="L27" i="18"/>
  <c r="B27" i="18"/>
  <c r="C26" i="18"/>
  <c r="D26" i="18"/>
  <c r="E26" i="18"/>
  <c r="F26" i="18"/>
  <c r="G26" i="18"/>
  <c r="H26" i="18"/>
  <c r="I26" i="18"/>
  <c r="J26" i="18"/>
  <c r="K26" i="18"/>
  <c r="L26" i="18"/>
  <c r="B26" i="18"/>
  <c r="C25" i="18"/>
  <c r="D25" i="18"/>
  <c r="E25" i="18"/>
  <c r="F25" i="18"/>
  <c r="G25" i="18"/>
  <c r="H25" i="18"/>
  <c r="I25" i="18"/>
  <c r="J25" i="18"/>
  <c r="K25" i="18"/>
  <c r="L25" i="18"/>
  <c r="B25" i="18"/>
  <c r="C24" i="18"/>
  <c r="D24" i="18"/>
  <c r="E24" i="18"/>
  <c r="F24" i="18"/>
  <c r="G24" i="18"/>
  <c r="H24" i="18"/>
  <c r="I24" i="18"/>
  <c r="J24" i="18"/>
  <c r="K24" i="18"/>
  <c r="L24" i="18"/>
  <c r="B24" i="18"/>
  <c r="C23" i="18"/>
  <c r="D23" i="18"/>
  <c r="E23" i="18"/>
  <c r="F23" i="18"/>
  <c r="G23" i="18"/>
  <c r="H23" i="18"/>
  <c r="I23" i="18"/>
  <c r="J23" i="18"/>
  <c r="K23" i="18"/>
  <c r="L23" i="18"/>
  <c r="B23" i="18"/>
  <c r="C22" i="18"/>
  <c r="D22" i="18"/>
  <c r="E22" i="18"/>
  <c r="F22" i="18"/>
  <c r="G22" i="18"/>
  <c r="H22" i="18"/>
  <c r="I22" i="18"/>
  <c r="J22" i="18"/>
  <c r="K22" i="18"/>
  <c r="L22" i="18"/>
  <c r="B22" i="18"/>
  <c r="C20" i="18"/>
  <c r="D20" i="18"/>
  <c r="E20" i="18"/>
  <c r="F20" i="18"/>
  <c r="G20" i="18"/>
  <c r="H20" i="18"/>
  <c r="I20" i="18"/>
  <c r="J20" i="18"/>
  <c r="K20" i="18"/>
  <c r="L20" i="18"/>
  <c r="B20" i="18"/>
  <c r="C19" i="18"/>
  <c r="D19" i="18"/>
  <c r="E19" i="18"/>
  <c r="F19" i="18"/>
  <c r="G19" i="18"/>
  <c r="H19" i="18"/>
  <c r="I19" i="18"/>
  <c r="J19" i="18"/>
  <c r="K19" i="18"/>
  <c r="L19" i="18"/>
  <c r="B19" i="18"/>
  <c r="C18" i="18"/>
  <c r="D18" i="18"/>
  <c r="E18" i="18"/>
  <c r="F18" i="18"/>
  <c r="G18" i="18"/>
  <c r="H18" i="18"/>
  <c r="I18" i="18"/>
  <c r="J18" i="18"/>
  <c r="K18" i="18"/>
  <c r="L18" i="18"/>
  <c r="B18" i="18"/>
  <c r="C11" i="18"/>
  <c r="C12" i="18"/>
  <c r="C13" i="18"/>
  <c r="C14" i="18"/>
  <c r="C15" i="18"/>
  <c r="D11" i="18"/>
  <c r="D12" i="18"/>
  <c r="D13" i="18"/>
  <c r="D14" i="18"/>
  <c r="D15" i="18"/>
  <c r="E11" i="18"/>
  <c r="E12" i="18"/>
  <c r="E13" i="18"/>
  <c r="E14" i="18"/>
  <c r="E15" i="18"/>
  <c r="F11" i="18"/>
  <c r="F12" i="18"/>
  <c r="F13" i="18"/>
  <c r="F14" i="18"/>
  <c r="F15" i="18"/>
  <c r="G11" i="18"/>
  <c r="G12" i="18"/>
  <c r="G13" i="18"/>
  <c r="G14" i="18"/>
  <c r="G15" i="18"/>
  <c r="H11" i="18"/>
  <c r="H12" i="18"/>
  <c r="H13" i="18"/>
  <c r="H14" i="18"/>
  <c r="H15" i="18"/>
  <c r="I11" i="18"/>
  <c r="I12" i="18"/>
  <c r="I13" i="18"/>
  <c r="I14" i="18"/>
  <c r="I15" i="18"/>
  <c r="J11" i="18"/>
  <c r="J12" i="18"/>
  <c r="J13" i="18"/>
  <c r="J14" i="18"/>
  <c r="J15" i="18"/>
  <c r="K11" i="18"/>
  <c r="K12" i="18"/>
  <c r="K13" i="18"/>
  <c r="K14" i="18"/>
  <c r="K15" i="18"/>
  <c r="L11" i="18"/>
  <c r="L12" i="18"/>
  <c r="L13" i="18"/>
  <c r="L14" i="18"/>
  <c r="L15" i="18"/>
  <c r="B15" i="18"/>
  <c r="B14" i="18"/>
  <c r="B13" i="18"/>
  <c r="B12" i="18"/>
  <c r="B11" i="18"/>
  <c r="L78" i="18"/>
  <c r="K78" i="18"/>
  <c r="J78" i="18"/>
  <c r="I78" i="18"/>
  <c r="H78" i="18"/>
  <c r="G78" i="18"/>
  <c r="F78" i="18"/>
  <c r="E78" i="18"/>
  <c r="D78" i="18"/>
  <c r="L77" i="18"/>
  <c r="K77" i="18"/>
  <c r="J77" i="18"/>
  <c r="I77" i="18"/>
  <c r="H77" i="18"/>
  <c r="G77" i="18"/>
  <c r="F77" i="18"/>
  <c r="E77" i="18"/>
  <c r="D77" i="18"/>
  <c r="C78" i="18"/>
  <c r="C77" i="18"/>
  <c r="L62" i="18"/>
  <c r="K62" i="18"/>
  <c r="J62" i="18"/>
  <c r="I62" i="18"/>
  <c r="H62" i="18"/>
  <c r="G62" i="18"/>
  <c r="F62" i="18"/>
  <c r="E62" i="18"/>
  <c r="D62" i="18"/>
  <c r="C62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C57" i="18"/>
  <c r="D57" i="18"/>
  <c r="B57" i="18"/>
  <c r="L56" i="18"/>
  <c r="K56" i="18"/>
  <c r="J56" i="18"/>
  <c r="I56" i="18"/>
  <c r="I64" i="18" s="1"/>
  <c r="B64" i="18" s="1"/>
  <c r="H56" i="18"/>
  <c r="G56" i="18"/>
  <c r="F56" i="18"/>
  <c r="E56" i="18"/>
  <c r="D56" i="18"/>
  <c r="C56" i="18"/>
  <c r="E42" i="18"/>
  <c r="E53" i="18"/>
  <c r="L42" i="18"/>
  <c r="L53" i="18"/>
  <c r="K42" i="18"/>
  <c r="K53" i="18"/>
  <c r="J42" i="18"/>
  <c r="J53" i="18"/>
  <c r="J66" i="18"/>
  <c r="I42" i="18"/>
  <c r="I53" i="18" s="1"/>
  <c r="H42" i="18"/>
  <c r="G42" i="18"/>
  <c r="G53" i="18"/>
  <c r="F42" i="18"/>
  <c r="D42" i="18"/>
  <c r="C42" i="18"/>
  <c r="L34" i="18"/>
  <c r="K34" i="18"/>
  <c r="J34" i="18"/>
  <c r="I34" i="18"/>
  <c r="H34" i="18"/>
  <c r="G34" i="18"/>
  <c r="F34" i="18"/>
  <c r="E34" i="18"/>
  <c r="D34" i="18"/>
  <c r="C34" i="18"/>
  <c r="L30" i="18"/>
  <c r="K30" i="18"/>
  <c r="J30" i="18"/>
  <c r="I30" i="18"/>
  <c r="H30" i="18"/>
  <c r="G30" i="18"/>
  <c r="F30" i="18"/>
  <c r="E30" i="18"/>
  <c r="D30" i="18"/>
  <c r="C30" i="18"/>
  <c r="B30" i="18"/>
  <c r="L29" i="18"/>
  <c r="K29" i="18"/>
  <c r="J29" i="18"/>
  <c r="I29" i="18"/>
  <c r="I73" i="18" s="1"/>
  <c r="H29" i="18"/>
  <c r="G29" i="18"/>
  <c r="F29" i="18"/>
  <c r="E29" i="18"/>
  <c r="D29" i="18"/>
  <c r="C29" i="18"/>
  <c r="H21" i="18"/>
  <c r="H28" i="18"/>
  <c r="I21" i="18"/>
  <c r="I28" i="18"/>
  <c r="J21" i="18"/>
  <c r="J28" i="18"/>
  <c r="L21" i="18"/>
  <c r="K21" i="18"/>
  <c r="K28" i="18"/>
  <c r="C21" i="18"/>
  <c r="C28" i="18"/>
  <c r="D21" i="18"/>
  <c r="D28" i="18"/>
  <c r="E21" i="18"/>
  <c r="E28" i="18"/>
  <c r="F21" i="18"/>
  <c r="F28" i="18"/>
  <c r="G21" i="18"/>
  <c r="G28" i="18"/>
  <c r="L28" i="18"/>
  <c r="B28" i="18"/>
  <c r="L8" i="18"/>
  <c r="L7" i="18"/>
  <c r="K8" i="18"/>
  <c r="K7" i="18"/>
  <c r="J8" i="18"/>
  <c r="J7" i="18"/>
  <c r="I8" i="18"/>
  <c r="H8" i="18"/>
  <c r="G8" i="18"/>
  <c r="F8" i="18"/>
  <c r="E8" i="18"/>
  <c r="D8" i="18"/>
  <c r="C8" i="18"/>
  <c r="I7" i="18"/>
  <c r="H7" i="18"/>
  <c r="G7" i="18"/>
  <c r="F7" i="18"/>
  <c r="E7" i="18"/>
  <c r="D7" i="18"/>
  <c r="C7" i="18"/>
  <c r="E8" i="17"/>
  <c r="D8" i="17"/>
  <c r="E7" i="17"/>
  <c r="D7" i="17"/>
  <c r="C7" i="17"/>
  <c r="C8" i="17"/>
  <c r="E78" i="17"/>
  <c r="D78" i="17"/>
  <c r="C78" i="17"/>
  <c r="E77" i="17"/>
  <c r="D77" i="17"/>
  <c r="C77" i="17"/>
  <c r="E76" i="17"/>
  <c r="D76" i="17"/>
  <c r="C76" i="17"/>
  <c r="B76" i="17"/>
  <c r="E75" i="17"/>
  <c r="D75" i="17"/>
  <c r="C75" i="17"/>
  <c r="E74" i="17"/>
  <c r="D74" i="17"/>
  <c r="C74" i="17"/>
  <c r="B74" i="17"/>
  <c r="E63" i="17"/>
  <c r="D63" i="17"/>
  <c r="C63" i="17"/>
  <c r="E62" i="17"/>
  <c r="D62" i="17"/>
  <c r="C62" i="17"/>
  <c r="B62" i="17"/>
  <c r="E61" i="17"/>
  <c r="D61" i="17"/>
  <c r="C61" i="17"/>
  <c r="B61" i="17"/>
  <c r="E60" i="17"/>
  <c r="D60" i="17"/>
  <c r="C60" i="17"/>
  <c r="E59" i="17"/>
  <c r="D59" i="17"/>
  <c r="C59" i="17"/>
  <c r="B59" i="17"/>
  <c r="E58" i="17"/>
  <c r="C58" i="17"/>
  <c r="D58" i="17"/>
  <c r="B58" i="17"/>
  <c r="E57" i="17"/>
  <c r="D57" i="17"/>
  <c r="C57" i="17"/>
  <c r="E56" i="17"/>
  <c r="D56" i="17"/>
  <c r="D64" i="17"/>
  <c r="C56" i="17"/>
  <c r="B56" i="17"/>
  <c r="E52" i="17"/>
  <c r="D52" i="17"/>
  <c r="C52" i="17"/>
  <c r="E51" i="17"/>
  <c r="D51" i="17"/>
  <c r="C51" i="17"/>
  <c r="E50" i="17"/>
  <c r="D50" i="17"/>
  <c r="C50" i="17"/>
  <c r="B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C42" i="17"/>
  <c r="C43" i="17"/>
  <c r="C44" i="17"/>
  <c r="C53" i="17"/>
  <c r="E44" i="17"/>
  <c r="D44" i="17"/>
  <c r="E43" i="17"/>
  <c r="D43" i="17"/>
  <c r="E42" i="17"/>
  <c r="D42" i="17"/>
  <c r="D53" i="17"/>
  <c r="E36" i="17"/>
  <c r="D36" i="17"/>
  <c r="C36" i="17"/>
  <c r="E35" i="17"/>
  <c r="D35" i="17"/>
  <c r="C35" i="17"/>
  <c r="E34" i="17"/>
  <c r="D34" i="17"/>
  <c r="C34" i="17"/>
  <c r="B34" i="17"/>
  <c r="E33" i="17"/>
  <c r="D33" i="17"/>
  <c r="C33" i="17"/>
  <c r="E31" i="17"/>
  <c r="D31" i="17"/>
  <c r="C31" i="17"/>
  <c r="E30" i="17"/>
  <c r="D30" i="17"/>
  <c r="C30" i="17"/>
  <c r="E29" i="17"/>
  <c r="D29" i="17"/>
  <c r="C29" i="17"/>
  <c r="B29" i="17"/>
  <c r="E27" i="17"/>
  <c r="C27" i="17"/>
  <c r="E26" i="17"/>
  <c r="D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C18" i="17"/>
  <c r="C19" i="17"/>
  <c r="C28" i="17"/>
  <c r="E19" i="17"/>
  <c r="D19" i="17"/>
  <c r="B19" i="17" s="1"/>
  <c r="E18" i="17"/>
  <c r="E14" i="17"/>
  <c r="E11" i="17"/>
  <c r="E12" i="17"/>
  <c r="E13" i="17"/>
  <c r="E15" i="17"/>
  <c r="D14" i="17"/>
  <c r="C14" i="17"/>
  <c r="C11" i="17"/>
  <c r="C12" i="17"/>
  <c r="C13" i="17"/>
  <c r="C15" i="17"/>
  <c r="D13" i="17"/>
  <c r="D12" i="17"/>
  <c r="D11" i="17"/>
  <c r="D15" i="17"/>
  <c r="D64" i="18"/>
  <c r="H53" i="18"/>
  <c r="F53" i="18"/>
  <c r="B85" i="17"/>
  <c r="B81" i="17"/>
  <c r="B78" i="17"/>
  <c r="B77" i="17"/>
  <c r="B75" i="17"/>
  <c r="B63" i="17"/>
  <c r="B60" i="17"/>
  <c r="B57" i="17"/>
  <c r="E53" i="17"/>
  <c r="B52" i="17"/>
  <c r="B51" i="17"/>
  <c r="B49" i="17"/>
  <c r="B48" i="17"/>
  <c r="B47" i="17"/>
  <c r="B46" i="17"/>
  <c r="B43" i="17"/>
  <c r="B38" i="17"/>
  <c r="B36" i="17"/>
  <c r="B35" i="17"/>
  <c r="B33" i="17"/>
  <c r="B31" i="17"/>
  <c r="B30" i="17"/>
  <c r="B26" i="17"/>
  <c r="B13" i="17"/>
  <c r="B11" i="17"/>
  <c r="K64" i="18"/>
  <c r="K66" i="18"/>
  <c r="D64" i="20"/>
  <c r="D53" i="20"/>
  <c r="D66" i="20"/>
  <c r="B78" i="19"/>
  <c r="B77" i="19"/>
  <c r="B34" i="19"/>
  <c r="B62" i="19"/>
  <c r="B21" i="18"/>
  <c r="B58" i="18"/>
  <c r="J64" i="18"/>
  <c r="B34" i="18"/>
  <c r="B78" i="18"/>
  <c r="B77" i="18"/>
  <c r="B62" i="18"/>
  <c r="H64" i="18"/>
  <c r="H66" i="18"/>
  <c r="B56" i="18"/>
  <c r="L64" i="18"/>
  <c r="L66" i="18"/>
  <c r="C53" i="18"/>
  <c r="D53" i="18"/>
  <c r="B14" i="17"/>
  <c r="C64" i="20"/>
  <c r="C66" i="20"/>
  <c r="B42" i="20"/>
  <c r="B20" i="20"/>
  <c r="D73" i="20"/>
  <c r="D79" i="20"/>
  <c r="D82" i="20"/>
  <c r="D84" i="20"/>
  <c r="D86" i="20"/>
  <c r="D32" i="20"/>
  <c r="D37" i="20"/>
  <c r="D39" i="20"/>
  <c r="C15" i="20"/>
  <c r="B15" i="20"/>
  <c r="C66" i="19"/>
  <c r="B18" i="19"/>
  <c r="E15" i="19"/>
  <c r="G15" i="19"/>
  <c r="B11" i="19"/>
  <c r="F66" i="19"/>
  <c r="B44" i="20"/>
  <c r="G66" i="19"/>
  <c r="B53" i="20"/>
  <c r="B28" i="20"/>
  <c r="D73" i="19"/>
  <c r="D79" i="19"/>
  <c r="D82" i="19"/>
  <c r="D84" i="19"/>
  <c r="D86" i="19"/>
  <c r="D32" i="19"/>
  <c r="D37" i="19"/>
  <c r="D39" i="19"/>
  <c r="E73" i="19"/>
  <c r="E79" i="19"/>
  <c r="E82" i="19"/>
  <c r="E84" i="19"/>
  <c r="E86" i="19"/>
  <c r="E32" i="19"/>
  <c r="E37" i="19"/>
  <c r="E39" i="19"/>
  <c r="D66" i="19"/>
  <c r="B58" i="19"/>
  <c r="B29" i="19"/>
  <c r="C73" i="19"/>
  <c r="H66" i="19"/>
  <c r="B44" i="19"/>
  <c r="B56" i="19"/>
  <c r="E64" i="19"/>
  <c r="E66" i="19"/>
  <c r="B14" i="19"/>
  <c r="B42" i="19"/>
  <c r="H73" i="19"/>
  <c r="H79" i="19"/>
  <c r="H82" i="19"/>
  <c r="H84" i="19"/>
  <c r="H86" i="19"/>
  <c r="H32" i="19"/>
  <c r="H37" i="19"/>
  <c r="H39" i="19"/>
  <c r="F73" i="19"/>
  <c r="F79" i="19"/>
  <c r="F82" i="19"/>
  <c r="F84" i="19"/>
  <c r="F86" i="19"/>
  <c r="F32" i="19"/>
  <c r="F37" i="19"/>
  <c r="F39" i="19"/>
  <c r="B15" i="19"/>
  <c r="G73" i="19"/>
  <c r="G79" i="19"/>
  <c r="G82" i="19"/>
  <c r="G84" i="19"/>
  <c r="G86" i="19"/>
  <c r="G32" i="19"/>
  <c r="G37" i="19"/>
  <c r="G39" i="19"/>
  <c r="C64" i="18"/>
  <c r="L73" i="18"/>
  <c r="K73" i="18"/>
  <c r="K79" i="18"/>
  <c r="K82" i="18"/>
  <c r="K84" i="18"/>
  <c r="K86" i="18"/>
  <c r="J73" i="18"/>
  <c r="J79" i="18"/>
  <c r="J82" i="18"/>
  <c r="J84" i="18"/>
  <c r="J86" i="18"/>
  <c r="J32" i="18"/>
  <c r="J37" i="18"/>
  <c r="J39" i="18"/>
  <c r="D73" i="18"/>
  <c r="D79" i="18"/>
  <c r="D82" i="18"/>
  <c r="D84" i="18"/>
  <c r="D86" i="18"/>
  <c r="F73" i="18"/>
  <c r="F79" i="18"/>
  <c r="F82" i="18"/>
  <c r="F84" i="18"/>
  <c r="F86" i="18"/>
  <c r="C64" i="17"/>
  <c r="C66" i="17"/>
  <c r="E64" i="17"/>
  <c r="D66" i="17"/>
  <c r="E66" i="17"/>
  <c r="B66" i="17"/>
  <c r="B45" i="17"/>
  <c r="E28" i="17"/>
  <c r="E73" i="17"/>
  <c r="E79" i="17"/>
  <c r="E82" i="17"/>
  <c r="E84" i="17"/>
  <c r="E86" i="17"/>
  <c r="E32" i="17"/>
  <c r="E37" i="17"/>
  <c r="E39" i="17"/>
  <c r="B12" i="17"/>
  <c r="F64" i="18"/>
  <c r="F66" i="18"/>
  <c r="E73" i="18"/>
  <c r="E79" i="18"/>
  <c r="E82" i="18"/>
  <c r="E84" i="18"/>
  <c r="E86" i="18"/>
  <c r="G64" i="18"/>
  <c r="G66" i="18"/>
  <c r="C73" i="18"/>
  <c r="C79" i="18"/>
  <c r="E64" i="18"/>
  <c r="E66" i="18"/>
  <c r="G73" i="18"/>
  <c r="G79" i="18"/>
  <c r="G82" i="18"/>
  <c r="G84" i="18"/>
  <c r="G86" i="18"/>
  <c r="H73" i="18"/>
  <c r="H79" i="18"/>
  <c r="H82" i="18"/>
  <c r="H84" i="18"/>
  <c r="H86" i="18"/>
  <c r="B15" i="17"/>
  <c r="C73" i="17"/>
  <c r="B42" i="17"/>
  <c r="B44" i="17"/>
  <c r="B53" i="17"/>
  <c r="F79" i="11"/>
  <c r="F72" i="11"/>
  <c r="F71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B64" i="20"/>
  <c r="L79" i="18"/>
  <c r="L82" i="18"/>
  <c r="L84" i="18"/>
  <c r="L86" i="18"/>
  <c r="L32" i="18"/>
  <c r="L37" i="18"/>
  <c r="L39" i="18"/>
  <c r="C82" i="18"/>
  <c r="C66" i="18"/>
  <c r="D66" i="18"/>
  <c r="C73" i="20"/>
  <c r="C79" i="20"/>
  <c r="C82" i="20"/>
  <c r="C84" i="20"/>
  <c r="C86" i="20"/>
  <c r="C32" i="20"/>
  <c r="C37" i="20"/>
  <c r="C39" i="20"/>
  <c r="B66" i="20"/>
  <c r="B66" i="19"/>
  <c r="B64" i="19"/>
  <c r="B53" i="19"/>
  <c r="B28" i="19"/>
  <c r="F32" i="18"/>
  <c r="F37" i="18"/>
  <c r="F39" i="18"/>
  <c r="K32" i="18"/>
  <c r="K37" i="18"/>
  <c r="K39" i="18"/>
  <c r="G32" i="18"/>
  <c r="G37" i="18"/>
  <c r="G39" i="18"/>
  <c r="D32" i="18"/>
  <c r="D37" i="18"/>
  <c r="D39" i="18"/>
  <c r="E32" i="18"/>
  <c r="E37" i="18"/>
  <c r="E39" i="18"/>
  <c r="H32" i="18"/>
  <c r="H37" i="18"/>
  <c r="H39" i="18"/>
  <c r="B64" i="17"/>
  <c r="C79" i="17"/>
  <c r="B79" i="20"/>
  <c r="B73" i="20"/>
  <c r="C84" i="18"/>
  <c r="B82" i="20"/>
  <c r="B73" i="19"/>
  <c r="C82" i="17"/>
  <c r="C86" i="18"/>
  <c r="B84" i="20"/>
  <c r="C84" i="17"/>
  <c r="C32" i="18"/>
  <c r="B86" i="20"/>
  <c r="C86" i="17"/>
  <c r="C37" i="18"/>
  <c r="B32" i="20"/>
  <c r="C32" i="17"/>
  <c r="C39" i="18"/>
  <c r="B37" i="20"/>
  <c r="C37" i="17"/>
  <c r="B39" i="20"/>
  <c r="C39" i="17"/>
  <c r="C73" i="15"/>
  <c r="D27" i="17"/>
  <c r="B27" i="17" s="1"/>
  <c r="D25" i="17"/>
  <c r="B25" i="17"/>
  <c r="D24" i="17"/>
  <c r="B24" i="17" s="1"/>
  <c r="D23" i="17"/>
  <c r="B23" i="17"/>
  <c r="D22" i="17"/>
  <c r="B22" i="17" s="1"/>
  <c r="D21" i="17"/>
  <c r="B21" i="17" s="1"/>
  <c r="D20" i="17"/>
  <c r="B20" i="17" s="1"/>
  <c r="D18" i="17"/>
  <c r="B18" i="17" s="1"/>
  <c r="T67" i="1"/>
  <c r="Q67" i="1"/>
  <c r="P67" i="1"/>
  <c r="G65" i="1"/>
  <c r="G67" i="1"/>
  <c r="E67" i="1"/>
  <c r="D67" i="1"/>
  <c r="C67" i="1"/>
  <c r="H80" i="15"/>
  <c r="G80" i="15"/>
  <c r="F80" i="15"/>
  <c r="E80" i="15"/>
  <c r="J80" i="15"/>
  <c r="D72" i="11"/>
  <c r="E77" i="15"/>
  <c r="D71" i="11"/>
  <c r="E76" i="15"/>
  <c r="D70" i="11"/>
  <c r="E75" i="15"/>
  <c r="G74" i="15"/>
  <c r="D69" i="11"/>
  <c r="E74" i="15"/>
  <c r="G73" i="15"/>
  <c r="D68" i="11"/>
  <c r="E73" i="15"/>
  <c r="H63" i="15"/>
  <c r="G63" i="15"/>
  <c r="F63" i="15"/>
  <c r="E63" i="15"/>
  <c r="D57" i="11"/>
  <c r="E62" i="15"/>
  <c r="G61" i="15"/>
  <c r="D56" i="11"/>
  <c r="E61" i="15"/>
  <c r="G60" i="15"/>
  <c r="D55" i="11"/>
  <c r="E60" i="15"/>
  <c r="G59" i="15"/>
  <c r="D54" i="11"/>
  <c r="E59" i="15"/>
  <c r="D53" i="11"/>
  <c r="E58" i="15"/>
  <c r="G57" i="15"/>
  <c r="D52" i="11"/>
  <c r="E57" i="15"/>
  <c r="G56" i="15"/>
  <c r="D51" i="11"/>
  <c r="E56" i="15"/>
  <c r="G52" i="15"/>
  <c r="D47" i="11"/>
  <c r="E52" i="15"/>
  <c r="G51" i="15"/>
  <c r="D46" i="11"/>
  <c r="E51" i="15"/>
  <c r="G50" i="15"/>
  <c r="D45" i="11"/>
  <c r="E50" i="15"/>
  <c r="G49" i="15"/>
  <c r="D44" i="11"/>
  <c r="E49" i="15"/>
  <c r="G48" i="15"/>
  <c r="D43" i="11"/>
  <c r="E48" i="15"/>
  <c r="G47" i="15"/>
  <c r="D42" i="11"/>
  <c r="E47" i="15"/>
  <c r="G46" i="15"/>
  <c r="D41" i="11"/>
  <c r="E46" i="15"/>
  <c r="G45" i="15"/>
  <c r="D40" i="11"/>
  <c r="E45" i="15"/>
  <c r="G44" i="15"/>
  <c r="D39" i="11"/>
  <c r="E44" i="15"/>
  <c r="G43" i="15"/>
  <c r="D38" i="11"/>
  <c r="E43" i="15"/>
  <c r="G42" i="15"/>
  <c r="D37" i="11"/>
  <c r="E42" i="15"/>
  <c r="G36" i="15"/>
  <c r="D31" i="11"/>
  <c r="E36" i="15"/>
  <c r="G35" i="15"/>
  <c r="D30" i="11"/>
  <c r="E35" i="15"/>
  <c r="D29" i="11"/>
  <c r="E34" i="15"/>
  <c r="D28" i="11"/>
  <c r="E33" i="15"/>
  <c r="D26" i="11"/>
  <c r="E31" i="15"/>
  <c r="G30" i="15"/>
  <c r="D25" i="11"/>
  <c r="E30" i="15"/>
  <c r="G29" i="15"/>
  <c r="D24" i="11"/>
  <c r="E29" i="15"/>
  <c r="G27" i="15"/>
  <c r="G22" i="15"/>
  <c r="G23" i="15"/>
  <c r="G24" i="15"/>
  <c r="G25" i="15"/>
  <c r="G26" i="15"/>
  <c r="G21" i="15"/>
  <c r="G20" i="15"/>
  <c r="G19" i="15"/>
  <c r="G18" i="15"/>
  <c r="G11" i="15"/>
  <c r="G12" i="15"/>
  <c r="G13" i="15"/>
  <c r="G14" i="15"/>
  <c r="D7" i="11"/>
  <c r="E12" i="15"/>
  <c r="D8" i="11"/>
  <c r="E13" i="15"/>
  <c r="D6" i="11"/>
  <c r="E11" i="15"/>
  <c r="G79" i="11"/>
  <c r="E79" i="11"/>
  <c r="D79" i="11"/>
  <c r="G72" i="11"/>
  <c r="H77" i="15"/>
  <c r="G77" i="15"/>
  <c r="G71" i="11"/>
  <c r="H76" i="15"/>
  <c r="G76" i="15"/>
  <c r="G70" i="11"/>
  <c r="H75" i="15"/>
  <c r="E70" i="11"/>
  <c r="F75" i="15"/>
  <c r="G69" i="11"/>
  <c r="H74" i="15"/>
  <c r="E69" i="11"/>
  <c r="F74" i="15"/>
  <c r="G68" i="11"/>
  <c r="H73" i="15"/>
  <c r="E68" i="11"/>
  <c r="F73" i="15"/>
  <c r="G57" i="11"/>
  <c r="H62" i="15"/>
  <c r="G62" i="15"/>
  <c r="E57" i="11"/>
  <c r="F62" i="15"/>
  <c r="G56" i="11"/>
  <c r="H61" i="15"/>
  <c r="E56" i="11"/>
  <c r="F61" i="15"/>
  <c r="G55" i="11"/>
  <c r="H60" i="15"/>
  <c r="E55" i="11"/>
  <c r="F60" i="15"/>
  <c r="G54" i="11"/>
  <c r="H59" i="15"/>
  <c r="E54" i="11"/>
  <c r="F59" i="15"/>
  <c r="G53" i="11"/>
  <c r="G58" i="15"/>
  <c r="G52" i="11"/>
  <c r="H57" i="15"/>
  <c r="E52" i="11"/>
  <c r="F57" i="15"/>
  <c r="D59" i="11"/>
  <c r="G51" i="11"/>
  <c r="H56" i="15"/>
  <c r="G47" i="11"/>
  <c r="H52" i="15"/>
  <c r="E47" i="11"/>
  <c r="F52" i="15"/>
  <c r="G46" i="11"/>
  <c r="H51" i="15"/>
  <c r="E46" i="11"/>
  <c r="F51" i="15"/>
  <c r="G45" i="11"/>
  <c r="H50" i="15"/>
  <c r="E45" i="11"/>
  <c r="F50" i="15"/>
  <c r="G44" i="11"/>
  <c r="H49" i="15"/>
  <c r="E44" i="11"/>
  <c r="F49" i="15"/>
  <c r="G43" i="11"/>
  <c r="H48" i="15"/>
  <c r="E43" i="11"/>
  <c r="F48" i="15"/>
  <c r="G42" i="11"/>
  <c r="H47" i="15"/>
  <c r="E42" i="11"/>
  <c r="F47" i="15"/>
  <c r="G41" i="11"/>
  <c r="H46" i="15"/>
  <c r="E41" i="11"/>
  <c r="F46" i="15"/>
  <c r="G40" i="11"/>
  <c r="H45" i="15"/>
  <c r="E40" i="11"/>
  <c r="F45" i="15"/>
  <c r="G39" i="11"/>
  <c r="E39" i="11"/>
  <c r="F44" i="15"/>
  <c r="G38" i="11"/>
  <c r="H43" i="15"/>
  <c r="E38" i="11"/>
  <c r="F43" i="15"/>
  <c r="G37" i="11"/>
  <c r="H42" i="15"/>
  <c r="F48" i="11"/>
  <c r="D48" i="11"/>
  <c r="G31" i="11"/>
  <c r="H36" i="15"/>
  <c r="E31" i="11"/>
  <c r="F36" i="15"/>
  <c r="G30" i="11"/>
  <c r="H35" i="15"/>
  <c r="E30" i="11"/>
  <c r="F35" i="15"/>
  <c r="G29" i="11"/>
  <c r="G34" i="15"/>
  <c r="G28" i="11"/>
  <c r="H33" i="15"/>
  <c r="G33" i="15"/>
  <c r="E28" i="11"/>
  <c r="F33" i="15"/>
  <c r="G26" i="11"/>
  <c r="H31" i="15"/>
  <c r="G31" i="15"/>
  <c r="E26" i="11"/>
  <c r="F31" i="15"/>
  <c r="G25" i="11"/>
  <c r="H30" i="15"/>
  <c r="E25" i="11"/>
  <c r="F30" i="15"/>
  <c r="G24" i="11"/>
  <c r="H29" i="15"/>
  <c r="E24" i="11"/>
  <c r="F29" i="15" s="1"/>
  <c r="G22" i="11"/>
  <c r="H27" i="15"/>
  <c r="E22" i="11"/>
  <c r="F27" i="15"/>
  <c r="G21" i="11"/>
  <c r="H26" i="15"/>
  <c r="E21" i="11"/>
  <c r="F26" i="15"/>
  <c r="D21" i="11"/>
  <c r="E26" i="15" s="1"/>
  <c r="J26" i="15" s="1"/>
  <c r="G20" i="11"/>
  <c r="H25" i="15"/>
  <c r="E20" i="11"/>
  <c r="F25" i="15"/>
  <c r="G19" i="11"/>
  <c r="H24" i="15"/>
  <c r="E19" i="11"/>
  <c r="F24" i="15"/>
  <c r="G18" i="11"/>
  <c r="H23" i="15"/>
  <c r="E18" i="11"/>
  <c r="F23" i="15"/>
  <c r="G17" i="11"/>
  <c r="E17" i="11"/>
  <c r="F22" i="15"/>
  <c r="G16" i="11"/>
  <c r="H21" i="15"/>
  <c r="E16" i="11"/>
  <c r="F21" i="15"/>
  <c r="G15" i="11"/>
  <c r="H20" i="15"/>
  <c r="E15" i="11"/>
  <c r="F20" i="15"/>
  <c r="G14" i="11"/>
  <c r="H19" i="15"/>
  <c r="E14" i="11"/>
  <c r="F19" i="15"/>
  <c r="D14" i="11"/>
  <c r="E19" i="15"/>
  <c r="J19" i="15" s="1"/>
  <c r="G13" i="11"/>
  <c r="H18" i="15"/>
  <c r="F23" i="11"/>
  <c r="E13" i="11"/>
  <c r="F18" i="15"/>
  <c r="G9" i="11"/>
  <c r="H14" i="15"/>
  <c r="E9" i="11"/>
  <c r="F14" i="15"/>
  <c r="D9" i="11"/>
  <c r="E14" i="15"/>
  <c r="G8" i="11"/>
  <c r="H13" i="15"/>
  <c r="E8" i="11"/>
  <c r="F13" i="15"/>
  <c r="G7" i="11"/>
  <c r="H12" i="15"/>
  <c r="E7" i="11"/>
  <c r="F12" i="15"/>
  <c r="G6" i="11"/>
  <c r="F10" i="11"/>
  <c r="E6" i="11"/>
  <c r="F11" i="15"/>
  <c r="G75" i="11"/>
  <c r="F75" i="11"/>
  <c r="E75" i="11"/>
  <c r="D75" i="11"/>
  <c r="E10" i="11"/>
  <c r="G59" i="11"/>
  <c r="H34" i="15"/>
  <c r="G10" i="11"/>
  <c r="G23" i="11"/>
  <c r="G67" i="11"/>
  <c r="H11" i="15"/>
  <c r="J11" i="15"/>
  <c r="J14" i="15"/>
  <c r="J45" i="15"/>
  <c r="J47" i="15"/>
  <c r="J49" i="15"/>
  <c r="J51" i="15"/>
  <c r="G48" i="11"/>
  <c r="H22" i="15"/>
  <c r="J43" i="15"/>
  <c r="J74" i="15"/>
  <c r="J13" i="15"/>
  <c r="J36" i="15"/>
  <c r="J52" i="15"/>
  <c r="J60" i="15"/>
  <c r="H58" i="15"/>
  <c r="J30" i="15"/>
  <c r="H44" i="15"/>
  <c r="J44" i="15"/>
  <c r="F59" i="11"/>
  <c r="F61" i="11"/>
  <c r="J31" i="15"/>
  <c r="E23" i="11"/>
  <c r="J62" i="15"/>
  <c r="D10" i="11"/>
  <c r="J12" i="15"/>
  <c r="J33" i="15"/>
  <c r="J35" i="15"/>
  <c r="J46" i="15"/>
  <c r="J48" i="15"/>
  <c r="J50" i="15"/>
  <c r="J57" i="15"/>
  <c r="J59" i="15"/>
  <c r="J61" i="15"/>
  <c r="D61" i="11"/>
  <c r="F67" i="11"/>
  <c r="G72" i="15"/>
  <c r="G61" i="11"/>
  <c r="G73" i="11"/>
  <c r="H72" i="15"/>
  <c r="G76" i="11"/>
  <c r="H78" i="15"/>
  <c r="G78" i="11"/>
  <c r="H81" i="15"/>
  <c r="G80" i="11"/>
  <c r="H83" i="15"/>
  <c r="C25" i="16"/>
  <c r="A25" i="16"/>
  <c r="O65" i="1"/>
  <c r="O54" i="1"/>
  <c r="O67" i="1"/>
  <c r="O74" i="1"/>
  <c r="O80" i="1"/>
  <c r="O83" i="1"/>
  <c r="O85" i="1"/>
  <c r="O87" i="1"/>
  <c r="O33" i="1"/>
  <c r="O38" i="1"/>
  <c r="O40" i="1"/>
  <c r="D25" i="16"/>
  <c r="O29" i="1"/>
  <c r="O16" i="1"/>
  <c r="E25" i="16"/>
  <c r="E51" i="11"/>
  <c r="F56" i="15"/>
  <c r="J56" i="15"/>
  <c r="E29" i="11"/>
  <c r="C29" i="11" s="1"/>
  <c r="E53" i="11"/>
  <c r="C53" i="11"/>
  <c r="E72" i="11"/>
  <c r="F77" i="15" s="1"/>
  <c r="J77" i="15" s="1"/>
  <c r="E71" i="11"/>
  <c r="F76" i="15" s="1"/>
  <c r="J76" i="15" s="1"/>
  <c r="E37" i="11"/>
  <c r="E48" i="11"/>
  <c r="F42" i="15"/>
  <c r="J42" i="15"/>
  <c r="C36" i="16" a="1"/>
  <c r="C36" i="16"/>
  <c r="B36" i="16" a="1"/>
  <c r="B36" i="16"/>
  <c r="C28" i="16" a="1"/>
  <c r="C33" i="16"/>
  <c r="B28" i="16" a="1"/>
  <c r="B28" i="16"/>
  <c r="C16" i="16" a="1"/>
  <c r="C19" i="16"/>
  <c r="B16" i="16" a="1"/>
  <c r="B18" i="16"/>
  <c r="B11" i="16" a="1"/>
  <c r="B12" i="16"/>
  <c r="C11" i="16" a="1"/>
  <c r="C11" i="16"/>
  <c r="C12" i="16"/>
  <c r="F79" i="4"/>
  <c r="D62" i="4"/>
  <c r="F61" i="4"/>
  <c r="D51" i="4"/>
  <c r="J72" i="4"/>
  <c r="F75" i="4"/>
  <c r="C76" i="15" s="1"/>
  <c r="F59" i="4"/>
  <c r="C61" i="15" s="1"/>
  <c r="L61" i="15" s="1"/>
  <c r="F58" i="4"/>
  <c r="J58" i="4" s="1"/>
  <c r="N58" i="4" s="1"/>
  <c r="F57" i="4"/>
  <c r="J57" i="4" s="1"/>
  <c r="N57" i="4" s="1"/>
  <c r="F55" i="4"/>
  <c r="C57" i="15" s="1"/>
  <c r="L57" i="15" s="1"/>
  <c r="F54" i="4"/>
  <c r="C56" i="15" s="1"/>
  <c r="F49" i="4"/>
  <c r="C51" i="15" s="1"/>
  <c r="L51" i="15" s="1"/>
  <c r="F48" i="4"/>
  <c r="C50" i="15" s="1"/>
  <c r="L50" i="15" s="1"/>
  <c r="F47" i="4"/>
  <c r="C49" i="15" s="1"/>
  <c r="L49" i="15" s="1"/>
  <c r="F44" i="4"/>
  <c r="C46" i="15" s="1"/>
  <c r="L46" i="15" s="1"/>
  <c r="F43" i="4"/>
  <c r="C45" i="15" s="1"/>
  <c r="L45" i="15" s="1"/>
  <c r="F41" i="4"/>
  <c r="C43" i="15" s="1"/>
  <c r="L43" i="15" s="1"/>
  <c r="F40" i="4"/>
  <c r="C42" i="15"/>
  <c r="F33" i="4"/>
  <c r="C35" i="15" s="1"/>
  <c r="L35" i="15" s="1"/>
  <c r="F32" i="4"/>
  <c r="C34" i="15" s="1"/>
  <c r="F31" i="4"/>
  <c r="C33" i="15" s="1"/>
  <c r="L33" i="15" s="1"/>
  <c r="F27" i="4"/>
  <c r="C29" i="15" s="1"/>
  <c r="F25" i="4"/>
  <c r="C27" i="15" s="1"/>
  <c r="F24" i="4"/>
  <c r="C26" i="15" s="1"/>
  <c r="F21" i="4"/>
  <c r="C23" i="15" s="1"/>
  <c r="F20" i="4"/>
  <c r="C22" i="15" s="1"/>
  <c r="F19" i="4"/>
  <c r="C21" i="15" s="1"/>
  <c r="F17" i="4"/>
  <c r="C19" i="15" s="1"/>
  <c r="F16" i="4"/>
  <c r="C18" i="15" s="1"/>
  <c r="F10" i="4"/>
  <c r="C12" i="15" s="1"/>
  <c r="L12" i="15" s="1"/>
  <c r="N29" i="1"/>
  <c r="L65" i="1"/>
  <c r="K65" i="1"/>
  <c r="K67" i="1"/>
  <c r="E65" i="1"/>
  <c r="E54" i="1"/>
  <c r="E29" i="1"/>
  <c r="E16" i="1"/>
  <c r="E74" i="1"/>
  <c r="E80" i="1"/>
  <c r="E83" i="1"/>
  <c r="E85" i="1"/>
  <c r="E87" i="1"/>
  <c r="E33" i="1"/>
  <c r="E38" i="1"/>
  <c r="E40" i="1"/>
  <c r="D22" i="11"/>
  <c r="E27" i="15" s="1"/>
  <c r="J27" i="15" s="1"/>
  <c r="D19" i="11"/>
  <c r="E24" i="15" s="1"/>
  <c r="J24" i="15" s="1"/>
  <c r="D18" i="11"/>
  <c r="E23" i="15" s="1"/>
  <c r="J23" i="15" s="1"/>
  <c r="D17" i="11"/>
  <c r="E22" i="15" s="1"/>
  <c r="J22" i="15" s="1"/>
  <c r="D16" i="11"/>
  <c r="E21" i="15" s="1"/>
  <c r="J21" i="15" s="1"/>
  <c r="D15" i="11"/>
  <c r="E20" i="15" s="1"/>
  <c r="J20" i="15" s="1"/>
  <c r="B2" i="7"/>
  <c r="A2" i="1"/>
  <c r="N61" i="4"/>
  <c r="B86" i="1"/>
  <c r="B82" i="1"/>
  <c r="B76" i="1"/>
  <c r="H73" i="4"/>
  <c r="B75" i="1"/>
  <c r="B64" i="1"/>
  <c r="B63" i="1"/>
  <c r="H60" i="4"/>
  <c r="B62" i="1"/>
  <c r="H59" i="4"/>
  <c r="J59" i="4"/>
  <c r="N59" i="4" s="1"/>
  <c r="B61" i="1"/>
  <c r="H58" i="4"/>
  <c r="B60" i="1"/>
  <c r="B58" i="1"/>
  <c r="H55" i="4"/>
  <c r="B53" i="1"/>
  <c r="H50" i="4"/>
  <c r="B52" i="1"/>
  <c r="H49" i="4"/>
  <c r="B51" i="1"/>
  <c r="H48" i="4"/>
  <c r="B50" i="1"/>
  <c r="H47" i="4"/>
  <c r="B49" i="1"/>
  <c r="H46" i="4"/>
  <c r="B48" i="1"/>
  <c r="H45" i="4"/>
  <c r="B47" i="1"/>
  <c r="H44" i="4"/>
  <c r="B46" i="1"/>
  <c r="H43" i="4"/>
  <c r="B45" i="1"/>
  <c r="H42" i="4"/>
  <c r="B44" i="1"/>
  <c r="H41" i="4"/>
  <c r="B37" i="1"/>
  <c r="B36" i="1"/>
  <c r="H33" i="4"/>
  <c r="B34" i="1"/>
  <c r="B32" i="1"/>
  <c r="H29" i="4"/>
  <c r="B31" i="1"/>
  <c r="H28" i="4"/>
  <c r="B28" i="1"/>
  <c r="H25" i="4" s="1"/>
  <c r="B27" i="1"/>
  <c r="H24" i="4"/>
  <c r="J24" i="4" s="1"/>
  <c r="N24" i="4" s="1"/>
  <c r="B25" i="1"/>
  <c r="H22" i="4"/>
  <c r="B24" i="1"/>
  <c r="H21" i="4" s="1"/>
  <c r="B23" i="1"/>
  <c r="H20" i="4" s="1"/>
  <c r="J20" i="4" s="1"/>
  <c r="N20" i="4" s="1"/>
  <c r="B20" i="1"/>
  <c r="H17" i="4"/>
  <c r="B15" i="1"/>
  <c r="H12" i="4"/>
  <c r="B14" i="1"/>
  <c r="H11" i="4"/>
  <c r="B13" i="1"/>
  <c r="H10" i="4"/>
  <c r="B12" i="1"/>
  <c r="H9" i="4"/>
  <c r="H13" i="4"/>
  <c r="W65" i="1"/>
  <c r="W54" i="1"/>
  <c r="W29" i="1"/>
  <c r="W16" i="1"/>
  <c r="W74" i="1"/>
  <c r="W80" i="1"/>
  <c r="W83" i="1"/>
  <c r="W85" i="1"/>
  <c r="W87" i="1"/>
  <c r="W33" i="1"/>
  <c r="W38" i="1"/>
  <c r="W40" i="1"/>
  <c r="U65" i="1"/>
  <c r="T65" i="1"/>
  <c r="U54" i="1"/>
  <c r="T54" i="1"/>
  <c r="U29" i="1"/>
  <c r="U16" i="1"/>
  <c r="U74" i="1"/>
  <c r="U80" i="1"/>
  <c r="U83" i="1"/>
  <c r="U85" i="1"/>
  <c r="U87" i="1"/>
  <c r="U33" i="1"/>
  <c r="U38" i="1"/>
  <c r="U40" i="1"/>
  <c r="T16" i="1"/>
  <c r="T29" i="1"/>
  <c r="H29" i="1"/>
  <c r="C79" i="11"/>
  <c r="M30" i="4"/>
  <c r="B39" i="1"/>
  <c r="C14" i="11"/>
  <c r="C25" i="11"/>
  <c r="C24" i="11"/>
  <c r="C21" i="11"/>
  <c r="C6" i="11"/>
  <c r="C7" i="11"/>
  <c r="C8" i="11"/>
  <c r="C30" i="11"/>
  <c r="C31" i="11"/>
  <c r="C37" i="11"/>
  <c r="C48" i="11" s="1"/>
  <c r="C38" i="11"/>
  <c r="C39" i="11"/>
  <c r="C40" i="11"/>
  <c r="C41" i="11"/>
  <c r="C42" i="11"/>
  <c r="C43" i="11"/>
  <c r="C44" i="11"/>
  <c r="C45" i="11"/>
  <c r="C46" i="11"/>
  <c r="C47" i="11"/>
  <c r="C51" i="11"/>
  <c r="C52" i="11"/>
  <c r="C54" i="11"/>
  <c r="C55" i="11"/>
  <c r="C56" i="11"/>
  <c r="C57" i="11"/>
  <c r="C69" i="11"/>
  <c r="C26" i="11"/>
  <c r="C9" i="11"/>
  <c r="V54" i="1"/>
  <c r="V29" i="1"/>
  <c r="V16" i="1"/>
  <c r="K54" i="1"/>
  <c r="K29" i="1"/>
  <c r="K16" i="1"/>
  <c r="J65" i="1"/>
  <c r="J54" i="1"/>
  <c r="J29" i="1"/>
  <c r="J16" i="1"/>
  <c r="K74" i="1"/>
  <c r="K80" i="1"/>
  <c r="K83" i="1"/>
  <c r="K85" i="1"/>
  <c r="K87" i="1"/>
  <c r="K33" i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K38" i="1"/>
  <c r="K40" i="1"/>
  <c r="L63" i="15"/>
  <c r="S54" i="1"/>
  <c r="S29" i="1"/>
  <c r="P65" i="1"/>
  <c r="Q65" i="1"/>
  <c r="R65" i="1"/>
  <c r="R67" i="1"/>
  <c r="P54" i="1"/>
  <c r="Q54" i="1"/>
  <c r="R54" i="1"/>
  <c r="P29" i="1"/>
  <c r="Q29" i="1"/>
  <c r="R29" i="1"/>
  <c r="P16" i="1"/>
  <c r="P74" i="1"/>
  <c r="Q16" i="1"/>
  <c r="R16" i="1"/>
  <c r="R74" i="1"/>
  <c r="R80" i="1"/>
  <c r="R83" i="1"/>
  <c r="R85" i="1"/>
  <c r="R87" i="1"/>
  <c r="R33" i="1"/>
  <c r="R38" i="1"/>
  <c r="R40" i="1"/>
  <c r="Q74" i="1"/>
  <c r="Q80" i="1"/>
  <c r="Q83" i="1"/>
  <c r="Q85" i="1"/>
  <c r="Q87" i="1"/>
  <c r="Q33" i="1"/>
  <c r="Q38" i="1"/>
  <c r="Q40" i="1"/>
  <c r="H15" i="15"/>
  <c r="L80" i="15"/>
  <c r="C28" i="11"/>
  <c r="C75" i="11"/>
  <c r="H53" i="15"/>
  <c r="L62" i="4"/>
  <c r="L51" i="4"/>
  <c r="L64" i="4"/>
  <c r="L31" i="4"/>
  <c r="H83" i="4"/>
  <c r="H31" i="4"/>
  <c r="S16" i="1"/>
  <c r="S74" i="1"/>
  <c r="S80" i="1"/>
  <c r="S83" i="1"/>
  <c r="S85" i="1"/>
  <c r="S87" i="1"/>
  <c r="S33" i="1"/>
  <c r="S38" i="1"/>
  <c r="S40" i="1"/>
  <c r="N65" i="1"/>
  <c r="N16" i="1"/>
  <c r="D16" i="1"/>
  <c r="H34" i="4"/>
  <c r="I29" i="1"/>
  <c r="M16" i="1"/>
  <c r="M54" i="1"/>
  <c r="M65" i="1"/>
  <c r="M67" i="1"/>
  <c r="L16" i="1"/>
  <c r="L74" i="1"/>
  <c r="L80" i="1" s="1"/>
  <c r="L83" i="1" s="1"/>
  <c r="L85" i="1" s="1"/>
  <c r="L87" i="1" s="1"/>
  <c r="L33" i="1" s="1"/>
  <c r="L54" i="1"/>
  <c r="I16" i="1"/>
  <c r="I54" i="1"/>
  <c r="I65" i="1"/>
  <c r="I67" i="1"/>
  <c r="H16" i="1"/>
  <c r="H54" i="1"/>
  <c r="H65" i="1"/>
  <c r="H67" i="1"/>
  <c r="G16" i="1"/>
  <c r="G29" i="1"/>
  <c r="G74" i="1"/>
  <c r="G80" i="1"/>
  <c r="G83" i="1"/>
  <c r="G85" i="1"/>
  <c r="G87" i="1"/>
  <c r="G33" i="1"/>
  <c r="G38" i="1"/>
  <c r="G40" i="1"/>
  <c r="G54" i="1"/>
  <c r="F16" i="1"/>
  <c r="F74" i="1"/>
  <c r="F80" i="1"/>
  <c r="F83" i="1"/>
  <c r="F85" i="1"/>
  <c r="F87" i="1"/>
  <c r="F33" i="1"/>
  <c r="F29" i="1"/>
  <c r="F54" i="1"/>
  <c r="F65" i="1"/>
  <c r="D54" i="1"/>
  <c r="D65" i="1"/>
  <c r="C16" i="1"/>
  <c r="C74" i="1"/>
  <c r="C80" i="1"/>
  <c r="C83" i="1"/>
  <c r="C85" i="1"/>
  <c r="C87" i="1"/>
  <c r="C33" i="1"/>
  <c r="C29" i="1"/>
  <c r="C54" i="1"/>
  <c r="C65" i="1"/>
  <c r="H74" i="1"/>
  <c r="H80" i="1"/>
  <c r="H83" i="1"/>
  <c r="H85" i="1"/>
  <c r="H87" i="1"/>
  <c r="H33" i="1"/>
  <c r="H38" i="1"/>
  <c r="H40" i="1"/>
  <c r="H57" i="4"/>
  <c r="L29" i="1"/>
  <c r="M29" i="1"/>
  <c r="M74" i="1"/>
  <c r="M80" i="1"/>
  <c r="M83" i="1"/>
  <c r="M85" i="1"/>
  <c r="M87" i="1"/>
  <c r="M33" i="1"/>
  <c r="M38" i="1"/>
  <c r="M40" i="1"/>
  <c r="C22" i="11"/>
  <c r="N74" i="1"/>
  <c r="N80" i="1"/>
  <c r="N83" i="1"/>
  <c r="N85" i="1"/>
  <c r="N87" i="1"/>
  <c r="N33" i="1"/>
  <c r="B19" i="16"/>
  <c r="C31" i="16"/>
  <c r="B32" i="16"/>
  <c r="B30" i="16"/>
  <c r="U67" i="1"/>
  <c r="E28" i="16" a="1"/>
  <c r="C10" i="11"/>
  <c r="F67" i="1"/>
  <c r="B37" i="16"/>
  <c r="W67" i="1"/>
  <c r="J67" i="1"/>
  <c r="B19" i="1"/>
  <c r="H16" i="4" s="1"/>
  <c r="D13" i="11"/>
  <c r="E18" i="15" s="1"/>
  <c r="B26" i="1"/>
  <c r="H23" i="4"/>
  <c r="D20" i="11"/>
  <c r="C20" i="11" s="1"/>
  <c r="F38" i="1"/>
  <c r="F40" i="1"/>
  <c r="F15" i="15"/>
  <c r="G15" i="15"/>
  <c r="H64" i="15"/>
  <c r="H66" i="15"/>
  <c r="D29" i="1"/>
  <c r="D74" i="1" s="1"/>
  <c r="B16" i="1"/>
  <c r="B17" i="16"/>
  <c r="B21" i="16"/>
  <c r="B23" i="16"/>
  <c r="C20" i="16"/>
  <c r="C37" i="16"/>
  <c r="C28" i="16"/>
  <c r="C21" i="16"/>
  <c r="C18" i="16"/>
  <c r="B13" i="16"/>
  <c r="B29" i="16"/>
  <c r="B11" i="16"/>
  <c r="B57" i="1"/>
  <c r="H54" i="4"/>
  <c r="F28" i="15"/>
  <c r="C38" i="1"/>
  <c r="C40" i="1"/>
  <c r="E11" i="16" a="1"/>
  <c r="V74" i="1"/>
  <c r="V80" i="1"/>
  <c r="V83" i="1"/>
  <c r="V85" i="1"/>
  <c r="V87" i="1"/>
  <c r="V33" i="1"/>
  <c r="T74" i="1"/>
  <c r="T80" i="1"/>
  <c r="T83" i="1"/>
  <c r="T85" i="1"/>
  <c r="T87" i="1"/>
  <c r="T33" i="1"/>
  <c r="H28" i="15"/>
  <c r="J40" i="1"/>
  <c r="J74" i="1"/>
  <c r="J80" i="1"/>
  <c r="J83" i="1"/>
  <c r="J85" i="1"/>
  <c r="J87" i="1"/>
  <c r="J33" i="1"/>
  <c r="B21" i="1"/>
  <c r="H18" i="4"/>
  <c r="B30" i="1"/>
  <c r="H27" i="4" s="1"/>
  <c r="B59" i="1"/>
  <c r="H56" i="4"/>
  <c r="S65" i="1"/>
  <c r="S67" i="1"/>
  <c r="V65" i="1"/>
  <c r="V67" i="1"/>
  <c r="J38" i="1"/>
  <c r="I74" i="1"/>
  <c r="I80" i="1"/>
  <c r="I83" i="1"/>
  <c r="I85" i="1"/>
  <c r="I87" i="1"/>
  <c r="I33" i="1"/>
  <c r="I38" i="1"/>
  <c r="I40" i="1"/>
  <c r="C13" i="16"/>
  <c r="B20" i="16"/>
  <c r="C22" i="16"/>
  <c r="B31" i="16"/>
  <c r="B16" i="16"/>
  <c r="B22" i="1"/>
  <c r="H19" i="4" s="1"/>
  <c r="J19" i="4" s="1"/>
  <c r="N19" i="4" s="1"/>
  <c r="C23" i="16"/>
  <c r="C29" i="16"/>
  <c r="B79" i="1"/>
  <c r="H76" i="4"/>
  <c r="B22" i="16"/>
  <c r="C17" i="16"/>
  <c r="C30" i="16"/>
  <c r="C16" i="16"/>
  <c r="B24" i="16"/>
  <c r="C24" i="16"/>
  <c r="B33" i="16"/>
  <c r="C32" i="16"/>
  <c r="F74" i="4"/>
  <c r="C75" i="15" s="1"/>
  <c r="E11" i="3"/>
  <c r="C14" i="7"/>
  <c r="E10" i="3"/>
  <c r="C6" i="7"/>
  <c r="J55" i="4"/>
  <c r="N55" i="4" s="1"/>
  <c r="B78" i="1"/>
  <c r="H75" i="4"/>
  <c r="B43" i="1"/>
  <c r="H40" i="4" s="1"/>
  <c r="B35" i="1"/>
  <c r="H32" i="4"/>
  <c r="N38" i="1"/>
  <c r="N40" i="1"/>
  <c r="N54" i="1"/>
  <c r="N67" i="1"/>
  <c r="F45" i="4"/>
  <c r="C47" i="15" s="1"/>
  <c r="L47" i="15" s="1"/>
  <c r="F34" i="4"/>
  <c r="C36" i="15" s="1"/>
  <c r="L36" i="15" s="1"/>
  <c r="F60" i="4"/>
  <c r="C62" i="15" s="1"/>
  <c r="L62" i="15" s="1"/>
  <c r="F83" i="4"/>
  <c r="J83" i="4" s="1"/>
  <c r="N83" i="4" s="1"/>
  <c r="F28" i="4"/>
  <c r="C30" i="15" s="1"/>
  <c r="L30" i="15" s="1"/>
  <c r="F56" i="4"/>
  <c r="C58" i="15" s="1"/>
  <c r="F18" i="4"/>
  <c r="C20" i="15" s="1"/>
  <c r="F23" i="4"/>
  <c r="C25" i="15" s="1"/>
  <c r="F73" i="4"/>
  <c r="C74" i="15" s="1"/>
  <c r="L74" i="15" s="1"/>
  <c r="F76" i="4"/>
  <c r="C77" i="15" s="1"/>
  <c r="F11" i="4"/>
  <c r="C13" i="15" s="1"/>
  <c r="L13" i="15" s="1"/>
  <c r="F46" i="4"/>
  <c r="C48" i="15" s="1"/>
  <c r="L48" i="15" s="1"/>
  <c r="F50" i="4"/>
  <c r="C52" i="15" s="1"/>
  <c r="L52" i="15" s="1"/>
  <c r="F42" i="4"/>
  <c r="C44" i="15" s="1"/>
  <c r="L44" i="15" s="1"/>
  <c r="F12" i="4"/>
  <c r="C14" i="15" s="1"/>
  <c r="L14" i="15" s="1"/>
  <c r="V38" i="1"/>
  <c r="V40" i="1"/>
  <c r="D36" i="16" a="1"/>
  <c r="D36" i="16"/>
  <c r="G27" i="11"/>
  <c r="C13" i="11"/>
  <c r="T38" i="1"/>
  <c r="T40" i="1"/>
  <c r="E64" i="15"/>
  <c r="E36" i="16" a="1"/>
  <c r="E36" i="16"/>
  <c r="G28" i="15"/>
  <c r="E15" i="15"/>
  <c r="E13" i="16"/>
  <c r="E12" i="16"/>
  <c r="E11" i="16"/>
  <c r="E32" i="16"/>
  <c r="E31" i="16"/>
  <c r="E28" i="16"/>
  <c r="E30" i="16"/>
  <c r="E29" i="16"/>
  <c r="E33" i="16"/>
  <c r="D37" i="16"/>
  <c r="D38" i="16"/>
  <c r="H32" i="15"/>
  <c r="H37" i="15"/>
  <c r="H39" i="15"/>
  <c r="G32" i="11"/>
  <c r="G34" i="11"/>
  <c r="E14" i="16"/>
  <c r="G64" i="15"/>
  <c r="E53" i="15"/>
  <c r="E66" i="15"/>
  <c r="G53" i="15"/>
  <c r="E37" i="16"/>
  <c r="E38" i="16"/>
  <c r="J15" i="15"/>
  <c r="E34" i="16"/>
  <c r="G66" i="15"/>
  <c r="J11" i="4"/>
  <c r="N11" i="4" s="1"/>
  <c r="J60" i="4"/>
  <c r="N60" i="4" s="1"/>
  <c r="D64" i="4"/>
  <c r="J28" i="4"/>
  <c r="N28" i="4" s="1"/>
  <c r="J41" i="4"/>
  <c r="N41" i="4" s="1"/>
  <c r="J44" i="4"/>
  <c r="N44" i="4" s="1"/>
  <c r="J48" i="4"/>
  <c r="N48" i="4" s="1"/>
  <c r="B65" i="1"/>
  <c r="C59" i="11"/>
  <c r="F58" i="15"/>
  <c r="F64" i="15" s="1"/>
  <c r="E59" i="11"/>
  <c r="H62" i="4"/>
  <c r="E61" i="11"/>
  <c r="E67" i="11"/>
  <c r="F53" i="15"/>
  <c r="J33" i="4" l="1"/>
  <c r="N33" i="4" s="1"/>
  <c r="J12" i="4"/>
  <c r="N12" i="4" s="1"/>
  <c r="J18" i="4"/>
  <c r="N18" i="4" s="1"/>
  <c r="J45" i="4"/>
  <c r="N45" i="4" s="1"/>
  <c r="J25" i="4"/>
  <c r="N25" i="4" s="1"/>
  <c r="C17" i="11"/>
  <c r="C18" i="11"/>
  <c r="L19" i="15"/>
  <c r="L26" i="15"/>
  <c r="C19" i="11"/>
  <c r="D9" i="4"/>
  <c r="D29" i="4" s="1"/>
  <c r="F29" i="4" s="1"/>
  <c r="C31" i="15" s="1"/>
  <c r="L31" i="15" s="1"/>
  <c r="K70" i="18"/>
  <c r="F70" i="19"/>
  <c r="R71" i="1"/>
  <c r="O71" i="1"/>
  <c r="H71" i="1"/>
  <c r="C70" i="17"/>
  <c r="G68" i="4"/>
  <c r="S71" i="1"/>
  <c r="G71" i="1"/>
  <c r="D70" i="20"/>
  <c r="G70" i="18"/>
  <c r="J70" i="18"/>
  <c r="F71" i="1"/>
  <c r="F25" i="16"/>
  <c r="F37" i="16"/>
  <c r="L70" i="18"/>
  <c r="H70" i="19"/>
  <c r="V71" i="1"/>
  <c r="G64" i="11"/>
  <c r="H69" i="15" s="1"/>
  <c r="C70" i="18"/>
  <c r="T71" i="1"/>
  <c r="J71" i="1"/>
  <c r="E70" i="17"/>
  <c r="H70" i="18"/>
  <c r="I71" i="1"/>
  <c r="E71" i="1"/>
  <c r="E70" i="19"/>
  <c r="N71" i="1"/>
  <c r="E70" i="18"/>
  <c r="Q71" i="1"/>
  <c r="U71" i="1"/>
  <c r="C70" i="20"/>
  <c r="K71" i="1"/>
  <c r="G70" i="19"/>
  <c r="D70" i="19"/>
  <c r="C71" i="1"/>
  <c r="F36" i="16"/>
  <c r="F38" i="16" s="1"/>
  <c r="D70" i="18"/>
  <c r="M71" i="1"/>
  <c r="F70" i="18"/>
  <c r="W71" i="1"/>
  <c r="J10" i="4"/>
  <c r="N10" i="4" s="1"/>
  <c r="J43" i="4"/>
  <c r="N43" i="4" s="1"/>
  <c r="J16" i="4"/>
  <c r="N16" i="4" s="1"/>
  <c r="J73" i="4"/>
  <c r="N73" i="4" s="1"/>
  <c r="J27" i="4"/>
  <c r="N27" i="4" s="1"/>
  <c r="C59" i="15"/>
  <c r="L59" i="15" s="1"/>
  <c r="K32" i="21"/>
  <c r="L36" i="21" s="1"/>
  <c r="L14" i="21"/>
  <c r="L32" i="21" s="1"/>
  <c r="L35" i="21" s="1"/>
  <c r="J46" i="4"/>
  <c r="N46" i="4" s="1"/>
  <c r="J47" i="4"/>
  <c r="N47" i="4" s="1"/>
  <c r="J31" i="4"/>
  <c r="N31" i="4" s="1"/>
  <c r="J34" i="4"/>
  <c r="N34" i="4" s="1"/>
  <c r="J76" i="4"/>
  <c r="N76" i="4" s="1"/>
  <c r="J17" i="4"/>
  <c r="N17" i="4" s="1"/>
  <c r="C60" i="15"/>
  <c r="L60" i="15" s="1"/>
  <c r="J49" i="4"/>
  <c r="N49" i="4" s="1"/>
  <c r="C53" i="15"/>
  <c r="J54" i="4"/>
  <c r="N54" i="4" s="1"/>
  <c r="J56" i="4"/>
  <c r="F62" i="4"/>
  <c r="J42" i="4"/>
  <c r="N42" i="4" s="1"/>
  <c r="J50" i="4"/>
  <c r="N50" i="4" s="1"/>
  <c r="L20" i="15"/>
  <c r="L56" i="15"/>
  <c r="F51" i="4"/>
  <c r="J23" i="4"/>
  <c r="N23" i="4" s="1"/>
  <c r="J32" i="4"/>
  <c r="N32" i="4" s="1"/>
  <c r="J75" i="4"/>
  <c r="N75" i="4" s="1"/>
  <c r="L21" i="15"/>
  <c r="L27" i="15"/>
  <c r="L23" i="15"/>
  <c r="L77" i="15"/>
  <c r="J21" i="4"/>
  <c r="N21" i="4" s="1"/>
  <c r="L22" i="15"/>
  <c r="L42" i="15"/>
  <c r="L53" i="15" s="1"/>
  <c r="L76" i="15"/>
  <c r="J58" i="15"/>
  <c r="L58" i="15" s="1"/>
  <c r="F34" i="15"/>
  <c r="J34" i="15" s="1"/>
  <c r="L34" i="15" s="1"/>
  <c r="C71" i="11"/>
  <c r="E73" i="11"/>
  <c r="F78" i="15" s="1"/>
  <c r="C72" i="11"/>
  <c r="I66" i="18"/>
  <c r="B66" i="18" s="1"/>
  <c r="J64" i="15"/>
  <c r="F66" i="15"/>
  <c r="C61" i="11"/>
  <c r="J29" i="15"/>
  <c r="L29" i="15" s="1"/>
  <c r="B73" i="18"/>
  <c r="I79" i="18"/>
  <c r="E76" i="11"/>
  <c r="E27" i="11"/>
  <c r="L38" i="1"/>
  <c r="L40" i="1" s="1"/>
  <c r="D16" i="16" s="1" a="1"/>
  <c r="B29" i="18"/>
  <c r="F72" i="15"/>
  <c r="H51" i="4"/>
  <c r="H64" i="4" s="1"/>
  <c r="J40" i="4"/>
  <c r="B53" i="18"/>
  <c r="L67" i="1"/>
  <c r="B54" i="1"/>
  <c r="B42" i="18"/>
  <c r="J53" i="15"/>
  <c r="E25" i="15"/>
  <c r="J25" i="15" s="1"/>
  <c r="L25" i="15" s="1"/>
  <c r="D23" i="11"/>
  <c r="D67" i="11" s="1"/>
  <c r="D73" i="11" s="1"/>
  <c r="E78" i="15" s="1"/>
  <c r="C16" i="11"/>
  <c r="C23" i="11" s="1"/>
  <c r="C15" i="11"/>
  <c r="H26" i="4"/>
  <c r="H71" i="4" s="1"/>
  <c r="E72" i="15"/>
  <c r="J18" i="15"/>
  <c r="E28" i="15"/>
  <c r="B74" i="1"/>
  <c r="D80" i="1"/>
  <c r="B29" i="1"/>
  <c r="D28" i="17"/>
  <c r="J29" i="4" l="1"/>
  <c r="C69" i="15"/>
  <c r="F9" i="4"/>
  <c r="D13" i="4"/>
  <c r="D22" i="4"/>
  <c r="F22" i="4" s="1"/>
  <c r="F26" i="4" s="1"/>
  <c r="D76" i="11"/>
  <c r="B70" i="20"/>
  <c r="D26" i="4"/>
  <c r="D71" i="4"/>
  <c r="D77" i="4" s="1"/>
  <c r="D80" i="4" s="1"/>
  <c r="H38" i="16"/>
  <c r="L64" i="15"/>
  <c r="L66" i="15" s="1"/>
  <c r="F64" i="4"/>
  <c r="E8" i="16" s="1"/>
  <c r="L37" i="21"/>
  <c r="C64" i="15"/>
  <c r="C66" i="15" s="1"/>
  <c r="C11" i="15"/>
  <c r="F13" i="4"/>
  <c r="J9" i="4"/>
  <c r="J13" i="4" s="1"/>
  <c r="C24" i="15"/>
  <c r="J22" i="4"/>
  <c r="J26" i="4" s="1"/>
  <c r="J62" i="4"/>
  <c r="N56" i="4"/>
  <c r="N62" i="4" s="1"/>
  <c r="F71" i="4"/>
  <c r="J66" i="15"/>
  <c r="B79" i="18"/>
  <c r="I82" i="18"/>
  <c r="F32" i="15"/>
  <c r="F37" i="15" s="1"/>
  <c r="F39" i="15" s="1"/>
  <c r="E32" i="11"/>
  <c r="E34" i="11" s="1"/>
  <c r="D16" i="16"/>
  <c r="D20" i="16"/>
  <c r="D18" i="16"/>
  <c r="D24" i="16"/>
  <c r="D23" i="16"/>
  <c r="D19" i="16"/>
  <c r="D17" i="16"/>
  <c r="D21" i="16"/>
  <c r="D22" i="16"/>
  <c r="J72" i="15"/>
  <c r="E78" i="11"/>
  <c r="F81" i="15"/>
  <c r="L71" i="1"/>
  <c r="E16" i="16" a="1"/>
  <c r="B67" i="1"/>
  <c r="J51" i="4"/>
  <c r="J64" i="4" s="1"/>
  <c r="C10" i="7" s="1"/>
  <c r="C12" i="7" s="1"/>
  <c r="C16" i="7" s="1"/>
  <c r="P77" i="1" s="1"/>
  <c r="N40" i="4"/>
  <c r="N51" i="4" s="1"/>
  <c r="C67" i="11"/>
  <c r="J28" i="15"/>
  <c r="L18" i="15"/>
  <c r="D73" i="17"/>
  <c r="B28" i="17"/>
  <c r="D78" i="11"/>
  <c r="E81" i="15"/>
  <c r="D83" i="1"/>
  <c r="J71" i="4" l="1"/>
  <c r="D82" i="4"/>
  <c r="F80" i="4"/>
  <c r="C81" i="15" s="1"/>
  <c r="C28" i="15"/>
  <c r="L24" i="15"/>
  <c r="L28" i="15" s="1"/>
  <c r="F77" i="4"/>
  <c r="C78" i="15" s="1"/>
  <c r="C72" i="15"/>
  <c r="N64" i="4"/>
  <c r="L11" i="15"/>
  <c r="L15" i="15" s="1"/>
  <c r="C15" i="15"/>
  <c r="E64" i="11"/>
  <c r="F69" i="15" s="1"/>
  <c r="B82" i="18"/>
  <c r="I84" i="18"/>
  <c r="F83" i="15"/>
  <c r="E80" i="11"/>
  <c r="D26" i="16"/>
  <c r="E18" i="16"/>
  <c r="F18" i="16" s="1"/>
  <c r="E21" i="16"/>
  <c r="F21" i="16" s="1"/>
  <c r="E22" i="16"/>
  <c r="F22" i="16" s="1"/>
  <c r="E19" i="16"/>
  <c r="F19" i="16" s="1"/>
  <c r="E23" i="16"/>
  <c r="F23" i="16" s="1"/>
  <c r="E20" i="16"/>
  <c r="F20" i="16" s="1"/>
  <c r="E16" i="16"/>
  <c r="E24" i="16"/>
  <c r="F24" i="16" s="1"/>
  <c r="E17" i="16"/>
  <c r="F17" i="16" s="1"/>
  <c r="F70" i="11"/>
  <c r="P80" i="1"/>
  <c r="B77" i="1"/>
  <c r="H74" i="4" s="1"/>
  <c r="C76" i="19"/>
  <c r="D85" i="1"/>
  <c r="D79" i="17"/>
  <c r="B73" i="17"/>
  <c r="D80" i="11"/>
  <c r="E83" i="15"/>
  <c r="L72" i="15" l="1"/>
  <c r="F82" i="4"/>
  <c r="D30" i="4"/>
  <c r="D84" i="4"/>
  <c r="F84" i="4" s="1"/>
  <c r="C83" i="15" s="1"/>
  <c r="I86" i="18"/>
  <c r="B84" i="18"/>
  <c r="G75" i="15"/>
  <c r="J75" i="15" s="1"/>
  <c r="L75" i="15" s="1"/>
  <c r="F73" i="11"/>
  <c r="C70" i="11"/>
  <c r="J74" i="4"/>
  <c r="H77" i="4"/>
  <c r="H80" i="4" s="1"/>
  <c r="H82" i="4" s="1"/>
  <c r="H84" i="4" s="1"/>
  <c r="C79" i="19"/>
  <c r="B76" i="19"/>
  <c r="P83" i="1"/>
  <c r="B80" i="1"/>
  <c r="F16" i="16"/>
  <c r="F26" i="16" s="1"/>
  <c r="H26" i="16" s="1"/>
  <c r="E26" i="16"/>
  <c r="E40" i="16" s="1"/>
  <c r="E42" i="16" s="1"/>
  <c r="D82" i="17"/>
  <c r="B79" i="17"/>
  <c r="D87" i="1"/>
  <c r="F30" i="4" l="1"/>
  <c r="D35" i="4"/>
  <c r="D37" i="4" s="1"/>
  <c r="I32" i="18"/>
  <c r="B86" i="18"/>
  <c r="C82" i="19"/>
  <c r="B79" i="19"/>
  <c r="H30" i="4"/>
  <c r="J84" i="4"/>
  <c r="G78" i="15"/>
  <c r="J78" i="15" s="1"/>
  <c r="L78" i="15" s="1"/>
  <c r="F76" i="11"/>
  <c r="C73" i="11"/>
  <c r="P85" i="1"/>
  <c r="B83" i="1"/>
  <c r="N74" i="4"/>
  <c r="J77" i="4"/>
  <c r="J80" i="4" s="1"/>
  <c r="J82" i="4" s="1"/>
  <c r="D33" i="1"/>
  <c r="B82" i="17"/>
  <c r="D84" i="17"/>
  <c r="C32" i="15" l="1"/>
  <c r="C37" i="15" s="1"/>
  <c r="C39" i="15" s="1"/>
  <c r="F35" i="4"/>
  <c r="F37" i="4" s="1"/>
  <c r="F68" i="4" s="1"/>
  <c r="B32" i="18"/>
  <c r="I37" i="18"/>
  <c r="P87" i="1"/>
  <c r="B85" i="1"/>
  <c r="F78" i="11"/>
  <c r="G81" i="15"/>
  <c r="J81" i="15" s="1"/>
  <c r="L81" i="15" s="1"/>
  <c r="C76" i="11"/>
  <c r="H35" i="4"/>
  <c r="H37" i="4" s="1"/>
  <c r="J30" i="4"/>
  <c r="J35" i="4" s="1"/>
  <c r="J37" i="4" s="1"/>
  <c r="C84" i="19"/>
  <c r="B82" i="19"/>
  <c r="B84" i="17"/>
  <c r="D86" i="17"/>
  <c r="D27" i="11"/>
  <c r="D38" i="1"/>
  <c r="L9" i="4" l="1"/>
  <c r="F66" i="4"/>
  <c r="D8" i="16"/>
  <c r="B37" i="18"/>
  <c r="I39" i="18"/>
  <c r="H68" i="4"/>
  <c r="H66" i="4"/>
  <c r="P33" i="1"/>
  <c r="B87" i="1"/>
  <c r="B84" i="19"/>
  <c r="C86" i="19"/>
  <c r="J66" i="4"/>
  <c r="J67" i="4" s="1"/>
  <c r="P13" i="4"/>
  <c r="G83" i="15"/>
  <c r="J83" i="15" s="1"/>
  <c r="L83" i="15" s="1"/>
  <c r="F80" i="11"/>
  <c r="C80" i="11" s="1"/>
  <c r="C27" i="11" s="1"/>
  <c r="C32" i="11" s="1"/>
  <c r="C34" i="11" s="1"/>
  <c r="C78" i="11"/>
  <c r="D40" i="1"/>
  <c r="D32" i="17"/>
  <c r="B86" i="17"/>
  <c r="E32" i="15"/>
  <c r="D32" i="11"/>
  <c r="D34" i="11" s="1"/>
  <c r="J68" i="4" l="1"/>
  <c r="F8" i="16"/>
  <c r="D66" i="4"/>
  <c r="F67" i="4"/>
  <c r="I69" i="18" s="1"/>
  <c r="B39" i="18"/>
  <c r="I70" i="18"/>
  <c r="B70" i="18" s="1"/>
  <c r="C64" i="11"/>
  <c r="L68" i="15"/>
  <c r="P38" i="1"/>
  <c r="F27" i="11"/>
  <c r="B33" i="1"/>
  <c r="C32" i="19"/>
  <c r="B86" i="19"/>
  <c r="N9" i="4"/>
  <c r="N13" i="4" s="1"/>
  <c r="L29" i="4"/>
  <c r="N29" i="4" s="1"/>
  <c r="L22" i="4"/>
  <c r="L13" i="4"/>
  <c r="P9" i="4"/>
  <c r="E37" i="15"/>
  <c r="E39" i="15" s="1"/>
  <c r="B32" i="17"/>
  <c r="D37" i="17"/>
  <c r="D11" i="16" a="1"/>
  <c r="D71" i="1"/>
  <c r="D64" i="11"/>
  <c r="E69" i="15" s="1"/>
  <c r="D63" i="11" l="1"/>
  <c r="E68" i="15" s="1"/>
  <c r="C63" i="11"/>
  <c r="D67" i="4"/>
  <c r="C68" i="15"/>
  <c r="M70" i="1"/>
  <c r="D69" i="18"/>
  <c r="B69" i="20"/>
  <c r="N70" i="1"/>
  <c r="J70" i="1"/>
  <c r="C70" i="1"/>
  <c r="E70" i="1"/>
  <c r="E69" i="18"/>
  <c r="L69" i="18"/>
  <c r="K69" i="18"/>
  <c r="K70" i="1"/>
  <c r="L70" i="1"/>
  <c r="W70" i="1"/>
  <c r="G63" i="11"/>
  <c r="H68" i="15" s="1"/>
  <c r="C69" i="18"/>
  <c r="I70" i="1"/>
  <c r="C69" i="17"/>
  <c r="G69" i="18"/>
  <c r="F70" i="1"/>
  <c r="H69" i="19"/>
  <c r="D69" i="19"/>
  <c r="V70" i="1"/>
  <c r="E63" i="11"/>
  <c r="F68" i="15" s="1"/>
  <c r="H69" i="18"/>
  <c r="F69" i="19"/>
  <c r="U70" i="1"/>
  <c r="G70" i="1"/>
  <c r="E69" i="19"/>
  <c r="C69" i="20"/>
  <c r="T70" i="1"/>
  <c r="E69" i="17"/>
  <c r="S70" i="1"/>
  <c r="Q70" i="1"/>
  <c r="D69" i="20"/>
  <c r="F69" i="18"/>
  <c r="J69" i="18"/>
  <c r="O70" i="1"/>
  <c r="G69" i="19"/>
  <c r="R70" i="1"/>
  <c r="H70" i="1"/>
  <c r="D70" i="1"/>
  <c r="H67" i="4"/>
  <c r="B69" i="18"/>
  <c r="B32" i="19"/>
  <c r="C37" i="19"/>
  <c r="G32" i="15"/>
  <c r="F32" i="11"/>
  <c r="F34" i="11" s="1"/>
  <c r="L26" i="4"/>
  <c r="N22" i="4"/>
  <c r="N26" i="4" s="1"/>
  <c r="P40" i="1"/>
  <c r="B38" i="1"/>
  <c r="B37" i="17"/>
  <c r="D39" i="17"/>
  <c r="D11" i="16"/>
  <c r="D12" i="16"/>
  <c r="F12" i="16" s="1"/>
  <c r="D13" i="16"/>
  <c r="F13" i="16" s="1"/>
  <c r="F64" i="11" l="1"/>
  <c r="G69" i="15" s="1"/>
  <c r="F63" i="11"/>
  <c r="G68" i="15" s="1"/>
  <c r="G37" i="15"/>
  <c r="G39" i="15" s="1"/>
  <c r="J32" i="15"/>
  <c r="N71" i="4"/>
  <c r="N77" i="4" s="1"/>
  <c r="N80" i="4" s="1"/>
  <c r="N82" i="4" s="1"/>
  <c r="N84" i="4" s="1"/>
  <c r="B37" i="19"/>
  <c r="C39" i="19"/>
  <c r="P71" i="1"/>
  <c r="B71" i="1" s="1"/>
  <c r="D28" i="16" a="1"/>
  <c r="P70" i="1"/>
  <c r="B40" i="1"/>
  <c r="B70" i="1" s="1"/>
  <c r="L71" i="4"/>
  <c r="L77" i="4" s="1"/>
  <c r="L80" i="4" s="1"/>
  <c r="L82" i="4" s="1"/>
  <c r="L84" i="4" s="1"/>
  <c r="L30" i="4" s="1"/>
  <c r="N30" i="4" s="1"/>
  <c r="N35" i="4" s="1"/>
  <c r="N37" i="4" s="1"/>
  <c r="N66" i="4" s="1"/>
  <c r="D14" i="16"/>
  <c r="F11" i="16"/>
  <c r="F14" i="16" s="1"/>
  <c r="D69" i="17"/>
  <c r="B39" i="17"/>
  <c r="B69" i="17" s="1"/>
  <c r="D70" i="17"/>
  <c r="B70" i="17" s="1"/>
  <c r="L35" i="4" l="1"/>
  <c r="L37" i="4" s="1"/>
  <c r="L66" i="4"/>
  <c r="N67" i="4"/>
  <c r="L67" i="4" s="1"/>
  <c r="B39" i="19"/>
  <c r="B69" i="19" s="1"/>
  <c r="C69" i="19"/>
  <c r="C70" i="19"/>
  <c r="B70" i="19" s="1"/>
  <c r="D32" i="16"/>
  <c r="F32" i="16" s="1"/>
  <c r="D33" i="16"/>
  <c r="F33" i="16" s="1"/>
  <c r="D31" i="16"/>
  <c r="F31" i="16" s="1"/>
  <c r="D29" i="16"/>
  <c r="F29" i="16" s="1"/>
  <c r="D30" i="16"/>
  <c r="F30" i="16" s="1"/>
  <c r="D28" i="16"/>
  <c r="L32" i="15"/>
  <c r="L37" i="15" s="1"/>
  <c r="L39" i="15" s="1"/>
  <c r="L69" i="15" s="1"/>
  <c r="J37" i="15"/>
  <c r="J39" i="15" s="1"/>
  <c r="J69" i="15" s="1"/>
  <c r="H15" i="16"/>
  <c r="F28" i="16" l="1"/>
  <c r="F34" i="16" s="1"/>
  <c r="D34" i="16"/>
  <c r="D40" i="16" s="1"/>
  <c r="D42" i="16" s="1"/>
  <c r="H33" i="16" l="1"/>
  <c r="F40" i="16"/>
  <c r="F42" i="16" l="1"/>
  <c r="H4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Huang, Joanna (UTC)</author>
  </authors>
  <commentList>
    <comment ref="F35" authorId="0" shapeId="0" xr:uid="{24F29C93-0C57-4CF8-92F5-0239E1F0FF5F}">
      <text>
        <r>
          <rPr>
            <b/>
            <sz val="9"/>
            <color indexed="81"/>
            <rFont val="Tahoma"/>
            <family val="2"/>
          </rPr>
          <t>Acct 411 and 410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0" shapeId="0" xr:uid="{52EA0047-7650-4B07-A420-D9DFA09B518C}">
      <text>
        <r>
          <rPr>
            <b/>
            <sz val="9"/>
            <color indexed="81"/>
            <rFont val="Tahoma"/>
            <family val="2"/>
          </rPr>
          <t xml:space="preserve">Acct 108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7" authorId="0" shapeId="0" xr:uid="{87BA7CE3-BD73-41CE-9B19-8C82F1BDF0BF}">
      <text>
        <r>
          <rPr>
            <b/>
            <sz val="9"/>
            <color indexed="81"/>
            <rFont val="Tahoma"/>
            <family val="2"/>
          </rPr>
          <t>Acct 108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7" authorId="0" shapeId="0" xr:uid="{7FA67B77-E6E6-4B72-B7B8-9574D4A13ADF}">
      <text>
        <r>
          <rPr>
            <b/>
            <sz val="9"/>
            <color indexed="81"/>
            <rFont val="Tahoma"/>
            <family val="2"/>
          </rPr>
          <t xml:space="preserve">Acct 108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 shapeId="0" xr:uid="{F4D643F8-3C54-4E02-88AD-103456E0948A}">
      <text>
        <r>
          <rPr>
            <b/>
            <sz val="9"/>
            <color indexed="81"/>
            <rFont val="Tahoma"/>
            <family val="2"/>
          </rPr>
          <t xml:space="preserve">Acct 190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17D0ECC-2288-406C-BEB3-85FB424C237A}">
      <text>
        <r>
          <rPr>
            <b/>
            <sz val="9"/>
            <color indexed="81"/>
            <rFont val="Tahoma"/>
            <family val="2"/>
          </rPr>
          <t xml:space="preserve">Acct 190, 282 283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0" shapeId="0" xr:uid="{E253D652-13AD-4A93-96B7-1941790E497A}">
      <text>
        <r>
          <rPr>
            <b/>
            <sz val="9"/>
            <color indexed="81"/>
            <rFont val="Tahoma"/>
            <family val="2"/>
          </rPr>
          <t xml:space="preserve">Acct 282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 shapeId="0" xr:uid="{50A348D7-1D13-436D-AD83-916F9B9BFC86}">
      <text>
        <r>
          <rPr>
            <b/>
            <sz val="9"/>
            <color indexed="81"/>
            <rFont val="Tahoma"/>
            <family val="2"/>
          </rPr>
          <t xml:space="preserve">Acct 190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9" authorId="0" shapeId="0" xr:uid="{24356168-386A-439B-BA14-E4DA3AEDDC1A}">
      <text>
        <r>
          <rPr>
            <b/>
            <sz val="9"/>
            <color indexed="81"/>
            <rFont val="Tahoma"/>
            <family val="2"/>
          </rPr>
          <t xml:space="preserve">Acct 282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0" shapeId="0" xr:uid="{9291CA9F-DE35-410B-BDE0-3DFF94BB7E50}">
      <text>
        <r>
          <rPr>
            <b/>
            <sz val="9"/>
            <color indexed="81"/>
            <rFont val="Tahoma"/>
            <family val="2"/>
          </rPr>
          <t>Acct 190 and 282</t>
        </r>
      </text>
    </comment>
    <comment ref="U59" authorId="0" shapeId="0" xr:uid="{AC32E1BD-C7F0-4D07-913C-3E489D5F865C}">
      <text>
        <r>
          <rPr>
            <b/>
            <sz val="9"/>
            <color indexed="81"/>
            <rFont val="Tahoma"/>
            <family val="2"/>
          </rPr>
          <t>Acct 190, 282, 283</t>
        </r>
      </text>
    </comment>
    <comment ref="V59" authorId="0" shapeId="0" xr:uid="{4FECF793-F080-4A1A-93BE-C10692CCD534}">
      <text>
        <r>
          <rPr>
            <b/>
            <sz val="9"/>
            <color indexed="81"/>
            <rFont val="Tahoma"/>
            <family val="2"/>
          </rPr>
          <t xml:space="preserve">Acct 283
</t>
        </r>
      </text>
    </comment>
    <comment ref="W59" authorId="0" shapeId="0" xr:uid="{DAB46A38-FE4F-4FE3-9A40-92C46D700088}">
      <text>
        <r>
          <rPr>
            <b/>
            <sz val="9"/>
            <color indexed="81"/>
            <rFont val="Tahoma"/>
            <family val="2"/>
          </rPr>
          <t>Acct 283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3" authorId="0" shapeId="0" xr:uid="{04FE99DE-0A3F-4C53-A92E-7F8806D01980}">
      <text>
        <r>
          <rPr>
            <b/>
            <sz val="9"/>
            <color indexed="81"/>
            <rFont val="Tahoma"/>
            <family val="2"/>
          </rPr>
          <t xml:space="preserve">Acct 254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3" authorId="0" shapeId="0" xr:uid="{D4150757-AF3D-4FD6-9C73-7F3E315C8C57}">
      <text>
        <r>
          <rPr>
            <b/>
            <sz val="9"/>
            <color indexed="81"/>
            <rFont val="Tahoma"/>
            <family val="2"/>
          </rPr>
          <t xml:space="preserve">Acct 254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7" authorId="0" shapeId="0" xr:uid="{ECEEFEBD-C7C2-428B-A4EF-6E30B7A86075}">
      <text>
        <r>
          <rPr>
            <b/>
            <sz val="9"/>
            <color indexed="81"/>
            <rFont val="Tahoma"/>
            <family val="2"/>
          </rPr>
          <t>Acct 427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9" authorId="0" shapeId="0" xr:uid="{0C34313B-CC18-4D44-AF81-72AE708DB986}">
      <text>
        <r>
          <rPr>
            <sz val="9"/>
            <color indexed="81"/>
            <rFont val="Tahoma"/>
            <family val="2"/>
          </rPr>
          <t xml:space="preserve">PAC's adjustment needs to include $3,088
</t>
        </r>
      </text>
    </comment>
  </commentList>
</comments>
</file>

<file path=xl/sharedStrings.xml><?xml version="1.0" encoding="utf-8"?>
<sst xmlns="http://schemas.openxmlformats.org/spreadsheetml/2006/main" count="815" uniqueCount="257">
  <si>
    <t xml:space="preserve">Capital Structure </t>
  </si>
  <si>
    <t>Embedded Cost</t>
  </si>
  <si>
    <t>Weighted Cost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</si>
  <si>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</si>
  <si>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</si>
  <si>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</si>
  <si>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</si>
  <si>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</si>
  <si>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</si>
  <si>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</si>
  <si>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</si>
  <si>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</si>
  <si>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</si>
  <si>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</si>
  <si>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</si>
  <si>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</si>
  <si>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</si>
  <si>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</si>
  <si>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</si>
  <si>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</si>
  <si>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</si>
  <si>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</si>
  <si>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</si>
  <si>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</si>
  <si>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</si>
  <si>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</si>
  <si>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</si>
  <si>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</si>
  <si>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</si>
  <si>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</si>
  <si>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</si>
  <si>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</si>
  <si>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</si>
  <si>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</si>
  <si>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</si>
  <si>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</si>
  <si>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</si>
  <si>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</si>
  <si>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</si>
  <si>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</si>
  <si>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</si>
  <si>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</si>
  <si>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</si>
  <si>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</si>
  <si>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</si>
  <si>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</si>
  <si>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</si>
  <si>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</si>
  <si>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</si>
  <si>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</si>
  <si>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</si>
  <si>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</si>
  <si>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</si>
  <si>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</si>
  <si>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</si>
  <si>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</si>
  <si>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</si>
  <si>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</si>
  <si>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</si>
  <si>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</si>
  <si>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</si>
  <si>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</si>
  <si>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</si>
  <si>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</si>
  <si>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</si>
  <si>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</si>
  <si>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</si>
  <si>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</si>
  <si>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</si>
  <si>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</si>
  <si>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</si>
  <si>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</si>
  <si>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</si>
  <si>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</si>
  <si>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</si>
  <si>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</si>
  <si>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</si>
  <si>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</si>
  <si>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</si>
  <si>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</si>
  <si>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</si>
  <si>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</si>
  <si>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</si>
  <si>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</si>
  <si>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</si>
  <si>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</si>
  <si>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</si>
  <si>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</si>
  <si>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</si>
  <si>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</si>
  <si>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</si>
  <si>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</si>
  <si>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</si>
  <si>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</si>
  <si>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</si>
  <si>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</si>
  <si>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</si>
  <si>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</si>
  <si>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</si>
  <si>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</si>
  <si>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</si>
  <si>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</si>
  <si>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</si>
  <si>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</si>
  <si>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</si>
  <si>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</si>
  <si>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</si>
  <si>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</si>
  <si>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</si>
  <si>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</si>
  <si>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</si>
  <si>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</si>
  <si>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</si>
  <si>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</si>
  <si>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</si>
  <si>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</si>
  <si>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</si>
  <si>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</si>
  <si>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</si>
  <si>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</si>
  <si>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</si>
  <si>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WASHINGTON SUMMARY OF ADJUSTMENTS - PRO FORMA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</si>
  <si>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</si>
  <si>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</si>
  <si>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</si>
  <si>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</si>
  <si>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</si>
  <si>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</si>
  <si>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13.2</t>
  </si>
  <si>
    <t>Tab 13 - Revenues &amp; Expenses (Year 2)</t>
  </si>
  <si>
    <t>Tab 14 - Capital Additions / Depreciaion &amp; Amortization (Year 2)</t>
  </si>
  <si>
    <t>14.1</t>
  </si>
  <si>
    <t>Pro Forma Major Plant Additions - Year 2</t>
  </si>
  <si>
    <t>Pro Forma Depreciation &amp; Amortization Reserve - 
Year 2</t>
  </si>
  <si>
    <t>Pro Forma Depreciation &amp; Amortization Expense - 
Year 2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</si>
  <si>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</si>
  <si>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</si>
  <si>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</si>
  <si>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</si>
  <si>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</si>
  <si>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</si>
  <si>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</si>
  <si>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</si>
  <si>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</si>
  <si>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Property Taxes - 
Year 2</t>
  </si>
  <si>
    <t>15.2</t>
  </si>
  <si>
    <t>15.3</t>
  </si>
  <si>
    <t>15.4</t>
  </si>
  <si>
    <t>Permanent Schedule M Adjustment - Year 2</t>
  </si>
  <si>
    <t>15.5</t>
  </si>
  <si>
    <t>Tab 15 - Taxes (Year 2)</t>
  </si>
  <si>
    <t>16.1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</si>
  <si>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</si>
  <si>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</si>
  <si>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</si>
  <si>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</si>
  <si>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15.6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</si>
  <si>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</si>
  <si>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</si>
  <si>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</si>
  <si>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</si>
  <si>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</si>
  <si>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</si>
  <si>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Interest True-up Calculation - Year 2</t>
  </si>
  <si>
    <t>2024 (Year 1) Interest Expense</t>
  </si>
  <si>
    <t>Pryor Mountain REC Revenues - Year 2</t>
  </si>
  <si>
    <t>Year 1 
Price Change</t>
  </si>
  <si>
    <t>Year 1 Results with Price Change</t>
  </si>
  <si>
    <t>PowerTax ADIT Balance Adjustment - Year 2</t>
  </si>
  <si>
    <t>13.3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</si>
  <si>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</si>
  <si>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</si>
  <si>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</si>
  <si>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</si>
  <si>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</si>
  <si>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</si>
  <si>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</si>
  <si>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</si>
  <si>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</si>
  <si>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3, 4 and Colstrip 4 Additions - 
Year 2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</si>
  <si>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</si>
  <si>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</si>
  <si>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</si>
  <si>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</si>
  <si>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</si>
  <si>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</si>
  <si>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</si>
  <si>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</si>
  <si>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</si>
  <si>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</si>
  <si>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</si>
  <si>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</si>
  <si>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</si>
  <si>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</si>
  <si>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</si>
  <si>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r>
      <rPr>
        <b/>
        <sz val="10"/>
        <color rgb="FFFF0000"/>
        <rFont val="Arial"/>
        <family val="2"/>
      </rPr>
      <t>Confidential</t>
    </r>
    <r>
      <rPr>
        <b/>
        <sz val="10"/>
        <rFont val="Arial"/>
        <family val="2"/>
      </rPr>
      <t xml:space="preserve"> Wind Generation Captial Additions - 
Year 2</t>
    </r>
  </si>
  <si>
    <t>Exhibit No. SLC-5</t>
  </si>
  <si>
    <t>Washington Allocated Year 1 Adjusted Results with Price Change</t>
  </si>
  <si>
    <t>Tab 14 - Cap Adds. / Depr.</t>
  </si>
  <si>
    <t>Page 1</t>
  </si>
  <si>
    <r>
      <t xml:space="preserve">Capital Structure and Cost - </t>
    </r>
    <r>
      <rPr>
        <b/>
        <i/>
        <sz val="10"/>
        <rFont val="Arial"/>
        <family val="2"/>
      </rPr>
      <t>Ref Exhibit No. SLC-4, Page 2.1</t>
    </r>
  </si>
  <si>
    <t>Page 2</t>
  </si>
  <si>
    <t>Tab 14 - Capital &amp; Deprec.</t>
  </si>
  <si>
    <t>Tab 16 - Other Adj. (Year 2)</t>
  </si>
  <si>
    <t>Tab 15 - Tax</t>
  </si>
  <si>
    <t>Existing Coal-Fired Generation Assets - 
Year 2</t>
  </si>
  <si>
    <t>Jim Bridger Mine Rate Base - 
Year 2</t>
  </si>
  <si>
    <t>Decommissioning and Other Plant Closure Costs - 
Year 2</t>
  </si>
  <si>
    <t>(SLC-5) Page 1</t>
  </si>
  <si>
    <t>(SLC-5), Page 4</t>
  </si>
  <si>
    <t>(SLC-5), Page 5</t>
  </si>
  <si>
    <t>(SLC-5), Page 6</t>
  </si>
  <si>
    <t>(SLC-5), Page 7</t>
  </si>
  <si>
    <t>The table below presents the Company's pro forma ratemaking adjustments for Rate Year 2 and their impact on net operating income (NOI), rate base, and the Washington revenue requirement.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</si>
  <si>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</si>
  <si>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</si>
  <si>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</si>
  <si>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</si>
  <si>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</si>
  <si>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</si>
  <si>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</si>
  <si>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r>
      <t xml:space="preserve">Net to Gross Bump-up Factor - </t>
    </r>
    <r>
      <rPr>
        <b/>
        <i/>
        <u/>
        <sz val="10"/>
        <rFont val="Arial"/>
        <family val="2"/>
      </rPr>
      <t>Ref Exhibit No. SLC-4, Page 1.3</t>
    </r>
  </si>
  <si>
    <t>Exhibit No. SLC-4, Page 1.0</t>
  </si>
  <si>
    <t>Page 15.1</t>
  </si>
  <si>
    <t>Capital Additions / Depr. &amp; Amort. - 
Year 2</t>
  </si>
  <si>
    <t>Washington Allocated  Year 2 Provisional Results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</si>
  <si>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</si>
  <si>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</si>
  <si>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</si>
  <si>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</si>
  <si>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</si>
  <si>
    <t>ok</t>
  </si>
  <si>
    <t>Revised</t>
  </si>
  <si>
    <t>S-T DEBT%</t>
  </si>
  <si>
    <t>L-T DEBT%</t>
  </si>
  <si>
    <t>Total Normalized Results</t>
  </si>
  <si>
    <t>ELECTRIC</t>
  </si>
  <si>
    <t>AVISTA UTILITIES</t>
  </si>
  <si>
    <t>Comparison of Revenue Requirement Adjustments</t>
  </si>
  <si>
    <t>(000's of Dollars)</t>
  </si>
  <si>
    <t>STAFF</t>
  </si>
  <si>
    <t>Revenue</t>
  </si>
  <si>
    <t>Requirement @</t>
  </si>
  <si>
    <t>Difference</t>
  </si>
  <si>
    <t>Adjustment #</t>
  </si>
  <si>
    <t>Description</t>
  </si>
  <si>
    <t xml:space="preserve">NOI   </t>
  </si>
  <si>
    <t>Wheeling Revenues - Year 2</t>
  </si>
  <si>
    <t>General Wage Increase-Year 2</t>
  </si>
  <si>
    <t>PacifiCorp Proposed</t>
  </si>
  <si>
    <t>ROR impact</t>
  </si>
  <si>
    <t>Staff Position</t>
  </si>
  <si>
    <t>Results of Operations after Y1 radjusted Results with price change</t>
  </si>
  <si>
    <t>(From Year 1  - Results Tab)</t>
  </si>
  <si>
    <t>Cost of Capital</t>
  </si>
  <si>
    <t>Net to Gross Bump-up Factor</t>
  </si>
  <si>
    <t xml:space="preserve">Requirement @PAC's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</si>
</sst>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0.000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/>
    <xf numFmtId="44" fontId="2" fillId="0" borderId="0" applyFont="0" applyFill="0" applyBorder="0" applyAlignment="0" applyProtection="0"/>
  </cellStyleXfs>
  <cellXfs count="365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164" fontId="3" fillId="0" borderId="2" xfId="1" applyNumberFormat="1" applyFont="1" applyFill="1" applyBorder="1"/>
    <xf numFmtId="43" fontId="3" fillId="0" borderId="0" xfId="0" applyNumberFormat="1" applyFont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0" fillId="0" borderId="0" xfId="6" applyFont="1"/>
    <xf numFmtId="0" fontId="11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0" fillId="0" borderId="0" xfId="6" quotePrefix="1" applyFont="1"/>
    <xf numFmtId="0" fontId="4" fillId="0" borderId="0" xfId="6" quotePrefix="1" applyFont="1"/>
    <xf numFmtId="0" fontId="7" fillId="0" borderId="0" xfId="6" applyFont="1"/>
    <xf numFmtId="0" fontId="3" fillId="0" borderId="2" xfId="6" applyFont="1" applyBorder="1" applyAlignment="1">
      <alignment horizontal="centerContinuous"/>
    </xf>
    <xf numFmtId="0" fontId="13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17" fontId="7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15" fillId="0" borderId="0" xfId="3" applyFont="1"/>
    <xf numFmtId="0" fontId="2" fillId="0" borderId="0" xfId="3" applyFont="1" applyAlignment="1">
      <alignment horizontal="center" wrapText="1"/>
    </xf>
    <xf numFmtId="164" fontId="2" fillId="0" borderId="0" xfId="4" applyNumberFormat="1" applyFont="1"/>
    <xf numFmtId="164" fontId="2" fillId="0" borderId="0" xfId="3" applyNumberFormat="1" applyFont="1"/>
    <xf numFmtId="164" fontId="2" fillId="0" borderId="1" xfId="3" applyNumberFormat="1" applyFont="1" applyBorder="1"/>
    <xf numFmtId="164" fontId="2" fillId="0" borderId="3" xfId="3" applyNumberFormat="1" applyFont="1" applyBorder="1"/>
    <xf numFmtId="0" fontId="2" fillId="0" borderId="0" xfId="3" applyFont="1" applyAlignment="1">
      <alignment vertical="center"/>
    </xf>
    <xf numFmtId="164" fontId="2" fillId="0" borderId="5" xfId="3" applyNumberFormat="1" applyFont="1" applyBorder="1"/>
    <xf numFmtId="0" fontId="2" fillId="0" borderId="0" xfId="3" applyFont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0" fontId="2" fillId="0" borderId="0" xfId="3" quotePrefix="1" applyFont="1" applyAlignment="1">
      <alignment horizontal="left"/>
    </xf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4" xfId="4" applyNumberFormat="1" applyFont="1" applyFill="1" applyBorder="1"/>
    <xf numFmtId="164" fontId="2" fillId="0" borderId="2" xfId="3" applyNumberFormat="1" applyFont="1" applyBorder="1"/>
    <xf numFmtId="0" fontId="3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0" xfId="6" applyFont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0" fontId="16" fillId="0" borderId="0" xfId="0" applyFont="1"/>
    <xf numFmtId="0" fontId="5" fillId="0" borderId="0" xfId="0" applyFont="1"/>
    <xf numFmtId="0" fontId="12" fillId="0" borderId="0" xfId="6" applyFont="1"/>
    <xf numFmtId="0" fontId="12" fillId="0" borderId="0" xfId="6" applyFont="1" applyAlignment="1">
      <alignment horizontal="center"/>
    </xf>
    <xf numFmtId="17" fontId="14" fillId="0" borderId="0" xfId="6" applyNumberFormat="1" applyFont="1" applyAlignment="1">
      <alignment horizontal="center" wrapText="1"/>
    </xf>
    <xf numFmtId="164" fontId="12" fillId="0" borderId="0" xfId="6" applyNumberFormat="1" applyFont="1"/>
    <xf numFmtId="164" fontId="12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/>
    <xf numFmtId="165" fontId="12" fillId="0" borderId="0" xfId="2" applyNumberFormat="1" applyFont="1" applyFill="1" applyBorder="1"/>
    <xf numFmtId="165" fontId="12" fillId="0" borderId="0" xfId="2" applyNumberFormat="1" applyFont="1" applyBorder="1"/>
    <xf numFmtId="0" fontId="7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164" fontId="2" fillId="0" borderId="0" xfId="1" applyNumberFormat="1" applyFont="1" applyBorder="1"/>
    <xf numFmtId="10" fontId="2" fillId="0" borderId="0" xfId="2" applyNumberFormat="1" applyFont="1" applyBorder="1"/>
    <xf numFmtId="164" fontId="2" fillId="0" borderId="0" xfId="0" applyNumberFormat="1" applyFont="1"/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43" fontId="2" fillId="0" borderId="0" xfId="1" applyFont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0" xfId="1" applyFont="1"/>
    <xf numFmtId="164" fontId="2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center" wrapText="1"/>
    </xf>
    <xf numFmtId="164" fontId="2" fillId="0" borderId="4" xfId="3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164" fontId="2" fillId="0" borderId="12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16" xfId="1" applyNumberFormat="1" applyFont="1" applyFill="1" applyBorder="1" applyAlignment="1"/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11" xfId="0" applyNumberFormat="1" applyFont="1" applyBorder="1"/>
    <xf numFmtId="164" fontId="2" fillId="0" borderId="18" xfId="1" applyNumberFormat="1" applyFont="1" applyFill="1" applyBorder="1"/>
    <xf numFmtId="164" fontId="2" fillId="0" borderId="18" xfId="1" applyNumberFormat="1" applyFont="1" applyFill="1" applyBorder="1" applyProtection="1"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7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64" fontId="15" fillId="0" borderId="0" xfId="3" applyNumberFormat="1" applyFont="1"/>
    <xf numFmtId="164" fontId="4" fillId="0" borderId="26" xfId="1" applyNumberFormat="1" applyFont="1" applyFill="1" applyBorder="1" applyAlignment="1"/>
    <xf numFmtId="0" fontId="18" fillId="0" borderId="0" xfId="0" applyFont="1"/>
    <xf numFmtId="0" fontId="20" fillId="0" borderId="0" xfId="0" applyFont="1"/>
    <xf numFmtId="10" fontId="2" fillId="0" borderId="0" xfId="5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/>
    <xf numFmtId="164" fontId="2" fillId="0" borderId="28" xfId="1" applyNumberFormat="1" applyFont="1" applyFill="1" applyBorder="1"/>
    <xf numFmtId="164" fontId="2" fillId="0" borderId="28" xfId="1" applyNumberFormat="1" applyFont="1" applyFill="1" applyBorder="1" applyProtection="1">
      <protection locked="0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/>
    <xf numFmtId="164" fontId="23" fillId="0" borderId="0" xfId="1" applyNumberFormat="1" applyFont="1" applyFill="1" applyBorder="1"/>
    <xf numFmtId="164" fontId="15" fillId="0" borderId="24" xfId="1" quotePrefix="1" applyNumberFormat="1" applyFont="1" applyFill="1" applyBorder="1" applyAlignment="1" applyProtection="1">
      <alignment horizontal="center"/>
      <protection locked="0"/>
    </xf>
    <xf numFmtId="164" fontId="23" fillId="0" borderId="10" xfId="1" applyNumberFormat="1" applyFont="1" applyFill="1" applyBorder="1" applyAlignment="1" applyProtection="1">
      <alignment horizontal="center" wrapText="1"/>
      <protection locked="0"/>
    </xf>
    <xf numFmtId="164" fontId="15" fillId="0" borderId="10" xfId="1" applyNumberFormat="1" applyFont="1" applyFill="1" applyBorder="1"/>
    <xf numFmtId="164" fontId="15" fillId="0" borderId="10" xfId="1" applyNumberFormat="1" applyFont="1" applyFill="1" applyBorder="1" applyProtection="1">
      <protection locked="0"/>
    </xf>
    <xf numFmtId="164" fontId="15" fillId="0" borderId="10" xfId="1" applyNumberFormat="1" applyFont="1" applyFill="1" applyBorder="1" applyAlignment="1" applyProtection="1">
      <alignment horizontal="left"/>
      <protection locked="0"/>
    </xf>
    <xf numFmtId="164" fontId="15" fillId="0" borderId="12" xfId="1" applyNumberFormat="1" applyFont="1" applyFill="1" applyBorder="1" applyProtection="1">
      <protection locked="0"/>
    </xf>
    <xf numFmtId="164" fontId="15" fillId="0" borderId="14" xfId="1" applyNumberFormat="1" applyFont="1" applyFill="1" applyBorder="1" applyAlignment="1" applyProtection="1">
      <alignment horizontal="left"/>
      <protection locked="0"/>
    </xf>
    <xf numFmtId="164" fontId="15" fillId="0" borderId="10" xfId="1" quotePrefix="1" applyNumberFormat="1" applyFont="1" applyFill="1" applyBorder="1" applyAlignment="1" applyProtection="1">
      <alignment horizontal="left"/>
      <protection locked="0"/>
    </xf>
    <xf numFmtId="164" fontId="15" fillId="0" borderId="16" xfId="1" applyNumberFormat="1" applyFont="1" applyFill="1" applyBorder="1" applyAlignment="1"/>
    <xf numFmtId="164" fontId="15" fillId="0" borderId="12" xfId="1" quotePrefix="1" applyNumberFormat="1" applyFont="1" applyFill="1" applyBorder="1" applyAlignment="1" applyProtection="1">
      <alignment horizontal="left"/>
      <protection locked="0"/>
    </xf>
    <xf numFmtId="164" fontId="15" fillId="0" borderId="16" xfId="1" applyNumberFormat="1" applyFont="1" applyFill="1" applyBorder="1" applyAlignment="1">
      <alignment vertical="center"/>
    </xf>
    <xf numFmtId="165" fontId="15" fillId="0" borderId="10" xfId="2" applyNumberFormat="1" applyFont="1" applyFill="1" applyBorder="1" applyAlignment="1">
      <alignment vertical="center"/>
    </xf>
    <xf numFmtId="164" fontId="15" fillId="0" borderId="10" xfId="0" applyNumberFormat="1" applyFont="1" applyBorder="1"/>
    <xf numFmtId="164" fontId="15" fillId="0" borderId="14" xfId="1" quotePrefix="1" applyNumberFormat="1" applyFont="1" applyFill="1" applyBorder="1" applyAlignment="1" applyProtection="1">
      <alignment horizontal="left"/>
      <protection locked="0"/>
    </xf>
    <xf numFmtId="164" fontId="15" fillId="0" borderId="10" xfId="1" applyNumberFormat="1" applyFont="1" applyFill="1" applyBorder="1" applyAlignment="1">
      <alignment vertical="center"/>
    </xf>
    <xf numFmtId="164" fontId="15" fillId="0" borderId="18" xfId="1" applyNumberFormat="1" applyFont="1" applyFill="1" applyBorder="1" applyProtection="1">
      <protection locked="0"/>
    </xf>
    <xf numFmtId="164" fontId="15" fillId="0" borderId="0" xfId="1" applyNumberFormat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Protection="1">
      <protection locked="0"/>
    </xf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left"/>
    </xf>
    <xf numFmtId="37" fontId="24" fillId="0" borderId="0" xfId="6" applyNumberFormat="1" applyFont="1" applyAlignment="1">
      <alignment horizontal="center"/>
    </xf>
    <xf numFmtId="164" fontId="25" fillId="0" borderId="0" xfId="1" applyNumberFormat="1" applyFont="1"/>
    <xf numFmtId="0" fontId="25" fillId="0" borderId="0" xfId="6" applyFont="1"/>
    <xf numFmtId="2" fontId="25" fillId="0" borderId="0" xfId="6" applyNumberFormat="1" applyFont="1" applyAlignment="1">
      <alignment horizontal="center"/>
    </xf>
    <xf numFmtId="0" fontId="25" fillId="0" borderId="0" xfId="6" applyFont="1" applyAlignment="1">
      <alignment horizontal="left"/>
    </xf>
    <xf numFmtId="37" fontId="25" fillId="0" borderId="0" xfId="6" applyNumberFormat="1" applyFont="1" applyAlignment="1">
      <alignment horizontal="center"/>
    </xf>
    <xf numFmtId="164" fontId="25" fillId="0" borderId="0" xfId="1" applyNumberFormat="1" applyFont="1" applyBorder="1"/>
    <xf numFmtId="2" fontId="25" fillId="0" borderId="29" xfId="6" applyNumberFormat="1" applyFont="1" applyBorder="1"/>
    <xf numFmtId="0" fontId="25" fillId="0" borderId="4" xfId="6" applyFont="1" applyBorder="1" applyAlignment="1">
      <alignment horizontal="left"/>
    </xf>
    <xf numFmtId="3" fontId="25" fillId="0" borderId="4" xfId="6" applyNumberFormat="1" applyFont="1" applyBorder="1"/>
    <xf numFmtId="3" fontId="25" fillId="0" borderId="30" xfId="6" applyNumberFormat="1" applyFont="1" applyBorder="1"/>
    <xf numFmtId="37" fontId="25" fillId="0" borderId="29" xfId="6" applyNumberFormat="1" applyFont="1" applyBorder="1"/>
    <xf numFmtId="37" fontId="26" fillId="0" borderId="4" xfId="6" applyNumberFormat="1" applyFont="1" applyBorder="1" applyAlignment="1">
      <alignment horizontal="center"/>
    </xf>
    <xf numFmtId="0" fontId="26" fillId="0" borderId="30" xfId="6" applyFont="1" applyBorder="1" applyAlignment="1">
      <alignment horizontal="center"/>
    </xf>
    <xf numFmtId="37" fontId="26" fillId="0" borderId="29" xfId="6" applyNumberFormat="1" applyFont="1" applyBorder="1" applyAlignment="1">
      <alignment horizontal="center"/>
    </xf>
    <xf numFmtId="0" fontId="26" fillId="0" borderId="4" xfId="6" applyFont="1" applyBorder="1" applyAlignment="1">
      <alignment horizontal="center"/>
    </xf>
    <xf numFmtId="0" fontId="25" fillId="0" borderId="30" xfId="6" applyFont="1" applyBorder="1"/>
    <xf numFmtId="0" fontId="25" fillId="0" borderId="4" xfId="6" applyFont="1" applyBorder="1" applyAlignment="1">
      <alignment horizontal="center"/>
    </xf>
    <xf numFmtId="0" fontId="27" fillId="0" borderId="30" xfId="6" applyFont="1" applyBorder="1" applyAlignment="1">
      <alignment horizontal="center"/>
    </xf>
    <xf numFmtId="2" fontId="25" fillId="0" borderId="31" xfId="6" applyNumberFormat="1" applyFont="1" applyBorder="1"/>
    <xf numFmtId="3" fontId="25" fillId="0" borderId="0" xfId="6" applyNumberFormat="1" applyFont="1"/>
    <xf numFmtId="3" fontId="25" fillId="0" borderId="32" xfId="6" applyNumberFormat="1" applyFont="1" applyBorder="1"/>
    <xf numFmtId="37" fontId="25" fillId="0" borderId="31" xfId="6" applyNumberFormat="1" applyFont="1" applyBorder="1"/>
    <xf numFmtId="37" fontId="25" fillId="0" borderId="0" xfId="6" applyNumberFormat="1" applyFont="1"/>
    <xf numFmtId="37" fontId="27" fillId="0" borderId="32" xfId="6" applyNumberFormat="1" applyFont="1" applyBorder="1" applyAlignment="1">
      <alignment horizontal="center"/>
    </xf>
    <xf numFmtId="37" fontId="27" fillId="0" borderId="0" xfId="6" applyNumberFormat="1" applyFont="1" applyAlignment="1">
      <alignment horizontal="center"/>
    </xf>
    <xf numFmtId="0" fontId="27" fillId="0" borderId="32" xfId="6" applyFont="1" applyBorder="1" applyAlignment="1">
      <alignment horizontal="center"/>
    </xf>
    <xf numFmtId="37" fontId="25" fillId="0" borderId="33" xfId="6" applyNumberFormat="1" applyFont="1" applyBorder="1" applyAlignment="1">
      <alignment horizontal="center"/>
    </xf>
    <xf numFmtId="37" fontId="25" fillId="0" borderId="2" xfId="6" applyNumberFormat="1" applyFont="1" applyBorder="1" applyAlignment="1">
      <alignment horizontal="center"/>
    </xf>
    <xf numFmtId="0" fontId="27" fillId="0" borderId="34" xfId="6" applyFont="1" applyBorder="1" applyAlignment="1">
      <alignment horizontal="center"/>
    </xf>
    <xf numFmtId="2" fontId="25" fillId="0" borderId="33" xfId="6" applyNumberFormat="1" applyFont="1" applyBorder="1" applyAlignment="1">
      <alignment horizontal="center"/>
    </xf>
    <xf numFmtId="0" fontId="25" fillId="0" borderId="2" xfId="6" applyFont="1" applyBorder="1" applyAlignment="1">
      <alignment horizontal="center"/>
    </xf>
    <xf numFmtId="0" fontId="25" fillId="0" borderId="2" xfId="6" applyFont="1" applyBorder="1"/>
    <xf numFmtId="0" fontId="25" fillId="0" borderId="34" xfId="6" applyFont="1" applyBorder="1" applyAlignment="1">
      <alignment horizontal="center"/>
    </xf>
    <xf numFmtId="37" fontId="25" fillId="0" borderId="9" xfId="6" applyNumberFormat="1" applyFont="1" applyBorder="1" applyAlignment="1">
      <alignment horizontal="center"/>
    </xf>
    <xf numFmtId="37" fontId="25" fillId="0" borderId="35" xfId="6" applyNumberFormat="1" applyFont="1" applyBorder="1" applyAlignment="1">
      <alignment horizontal="center"/>
    </xf>
    <xf numFmtId="10" fontId="27" fillId="0" borderId="8" xfId="6" applyNumberFormat="1" applyFont="1" applyBorder="1" applyAlignment="1">
      <alignment horizontal="center"/>
    </xf>
    <xf numFmtId="10" fontId="27" fillId="0" borderId="35" xfId="6" applyNumberFormat="1" applyFont="1" applyBorder="1" applyAlignment="1">
      <alignment horizontal="center"/>
    </xf>
    <xf numFmtId="0" fontId="27" fillId="0" borderId="8" xfId="6" applyFont="1" applyBorder="1" applyAlignment="1">
      <alignment horizontal="center"/>
    </xf>
    <xf numFmtId="3" fontId="23" fillId="0" borderId="0" xfId="0" applyNumberFormat="1" applyFont="1"/>
    <xf numFmtId="0" fontId="23" fillId="0" borderId="0" xfId="0" applyFont="1"/>
    <xf numFmtId="0" fontId="25" fillId="0" borderId="0" xfId="6" applyFont="1" applyAlignment="1">
      <alignment horizontal="center"/>
    </xf>
    <xf numFmtId="164" fontId="28" fillId="0" borderId="0" xfId="1" applyNumberFormat="1" applyFont="1" applyBorder="1" applyAlignment="1">
      <alignment vertical="center"/>
    </xf>
    <xf numFmtId="37" fontId="29" fillId="0" borderId="0" xfId="6" applyNumberFormat="1" applyFont="1" applyAlignment="1">
      <alignment horizontal="center"/>
    </xf>
    <xf numFmtId="164" fontId="29" fillId="0" borderId="0" xfId="1" applyNumberFormat="1" applyFont="1"/>
    <xf numFmtId="164" fontId="29" fillId="0" borderId="0" xfId="6" applyNumberFormat="1" applyFont="1" applyAlignment="1">
      <alignment horizontal="center"/>
    </xf>
    <xf numFmtId="164" fontId="29" fillId="0" borderId="0" xfId="0" applyNumberFormat="1" applyFont="1"/>
    <xf numFmtId="164" fontId="23" fillId="0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>
      <alignment horizontal="left"/>
      <protection locked="0"/>
    </xf>
    <xf numFmtId="37" fontId="29" fillId="0" borderId="0" xfId="6" applyNumberFormat="1" applyFont="1"/>
    <xf numFmtId="3" fontId="25" fillId="0" borderId="0" xfId="6" applyNumberFormat="1" applyFont="1" applyAlignment="1">
      <alignment horizontal="left"/>
    </xf>
    <xf numFmtId="43" fontId="25" fillId="0" borderId="0" xfId="1" applyFont="1" applyFill="1"/>
    <xf numFmtId="5" fontId="25" fillId="0" borderId="0" xfId="6" applyNumberFormat="1" applyFont="1"/>
    <xf numFmtId="0" fontId="4" fillId="0" borderId="11" xfId="1" applyNumberFormat="1" applyFont="1" applyFill="1" applyBorder="1" applyAlignment="1" applyProtection="1">
      <alignment horizontal="left"/>
      <protection locked="0"/>
    </xf>
    <xf numFmtId="0" fontId="30" fillId="0" borderId="0" xfId="6" applyFont="1"/>
    <xf numFmtId="6" fontId="25" fillId="0" borderId="0" xfId="6" applyNumberFormat="1" applyFont="1"/>
    <xf numFmtId="164" fontId="15" fillId="0" borderId="0" xfId="1" quotePrefix="1" applyNumberFormat="1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left"/>
      <protection locked="0"/>
    </xf>
    <xf numFmtId="166" fontId="25" fillId="0" borderId="0" xfId="8" applyNumberFormat="1" applyFont="1"/>
    <xf numFmtId="164" fontId="25" fillId="0" borderId="0" xfId="1" applyNumberFormat="1" applyFont="1" applyFill="1" applyBorder="1"/>
    <xf numFmtId="166" fontId="25" fillId="0" borderId="0" xfId="8" applyNumberFormat="1" applyFont="1" applyFill="1" applyBorder="1"/>
    <xf numFmtId="37" fontId="29" fillId="0" borderId="5" xfId="8" applyNumberFormat="1" applyFont="1" applyBorder="1"/>
    <xf numFmtId="37" fontId="29" fillId="2" borderId="5" xfId="8" applyNumberFormat="1" applyFont="1" applyFill="1" applyBorder="1"/>
    <xf numFmtId="0" fontId="25" fillId="0" borderId="0" xfId="6" quotePrefix="1" applyFont="1"/>
    <xf numFmtId="6" fontId="29" fillId="0" borderId="0" xfId="8" applyNumberFormat="1" applyFont="1" applyBorder="1"/>
    <xf numFmtId="37" fontId="29" fillId="0" borderId="0" xfId="8" applyNumberFormat="1" applyFont="1" applyBorder="1"/>
    <xf numFmtId="10" fontId="29" fillId="0" borderId="0" xfId="6" applyNumberFormat="1" applyFont="1"/>
    <xf numFmtId="0" fontId="29" fillId="0" borderId="0" xfId="6" applyFont="1"/>
    <xf numFmtId="5" fontId="29" fillId="0" borderId="0" xfId="0" applyNumberFormat="1" applyFont="1"/>
    <xf numFmtId="37" fontId="28" fillId="0" borderId="0" xfId="6" applyNumberFormat="1" applyFont="1" applyAlignment="1">
      <alignment horizontal="right"/>
    </xf>
    <xf numFmtId="167" fontId="25" fillId="0" borderId="0" xfId="2" applyNumberFormat="1" applyFont="1" applyFill="1" applyBorder="1"/>
    <xf numFmtId="164" fontId="25" fillId="0" borderId="0" xfId="6" applyNumberFormat="1" applyFont="1"/>
    <xf numFmtId="0" fontId="29" fillId="0" borderId="0" xfId="0" applyFont="1"/>
    <xf numFmtId="5" fontId="28" fillId="0" borderId="0" xfId="6" applyNumberFormat="1" applyFont="1" applyAlignment="1">
      <alignment horizontal="right"/>
    </xf>
    <xf numFmtId="10" fontId="25" fillId="0" borderId="0" xfId="6" applyNumberFormat="1" applyFont="1"/>
    <xf numFmtId="37" fontId="29" fillId="0" borderId="0" xfId="6" applyNumberFormat="1" applyFont="1" applyAlignment="1">
      <alignment horizontal="right"/>
    </xf>
    <xf numFmtId="164" fontId="26" fillId="0" borderId="0" xfId="6" applyNumberFormat="1" applyFont="1"/>
    <xf numFmtId="6" fontId="29" fillId="0" borderId="0" xfId="6" applyNumberFormat="1" applyFont="1"/>
    <xf numFmtId="0" fontId="29" fillId="0" borderId="28" xfId="0" applyFont="1" applyBorder="1"/>
    <xf numFmtId="37" fontId="29" fillId="0" borderId="28" xfId="6" applyNumberFormat="1" applyFont="1" applyBorder="1" applyAlignment="1">
      <alignment horizontal="right"/>
    </xf>
    <xf numFmtId="2" fontId="25" fillId="0" borderId="0" xfId="6" applyNumberFormat="1" applyFont="1"/>
    <xf numFmtId="37" fontId="30" fillId="0" borderId="0" xfId="6" applyNumberFormat="1" applyFont="1" applyAlignment="1">
      <alignment horizontal="center"/>
    </xf>
    <xf numFmtId="6" fontId="25" fillId="0" borderId="0" xfId="8" applyNumberFormat="1" applyFont="1" applyBorder="1"/>
    <xf numFmtId="37" fontId="25" fillId="0" borderId="0" xfId="8" applyNumberFormat="1" applyFont="1" applyBorder="1"/>
    <xf numFmtId="10" fontId="25" fillId="0" borderId="0" xfId="2" applyNumberFormat="1" applyFont="1" applyBorder="1"/>
    <xf numFmtId="0" fontId="25" fillId="0" borderId="0" xfId="6" applyFont="1" applyAlignment="1">
      <alignment horizontal="right"/>
    </xf>
    <xf numFmtId="10" fontId="2" fillId="0" borderId="0" xfId="0" applyNumberFormat="1" applyFont="1"/>
    <xf numFmtId="168" fontId="27" fillId="0" borderId="8" xfId="6" applyNumberFormat="1" applyFont="1" applyBorder="1" applyAlignment="1">
      <alignment horizont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0" fillId="0" borderId="0" xfId="6" applyFont="1" applyAlignment="1">
      <alignment horizontal="left" wrapText="1"/>
    </xf>
    <xf numFmtId="0" fontId="11" fillId="0" borderId="0" xfId="6" applyFont="1"/>
    <xf numFmtId="0" fontId="10" fillId="0" borderId="0" xfId="6" applyFont="1" applyAlignment="1">
      <alignment wrapText="1"/>
    </xf>
    <xf numFmtId="0" fontId="7" fillId="0" borderId="2" xfId="6" applyFont="1" applyBorder="1" applyAlignment="1">
      <alignment horizontal="center"/>
    </xf>
    <xf numFmtId="0" fontId="15" fillId="0" borderId="0" xfId="3" applyFont="1" applyAlignment="1">
      <alignment horizontal="center"/>
    </xf>
  </cellXfs>
  <cellStyles count="9">
    <cellStyle name="Comma" xfId="1" builtinId="3"/>
    <cellStyle name="Comma 2" xfId="4" xr:uid="{00000000-0005-0000-0000-000001000000}"/>
    <cellStyle name="Currency 2" xfId="8" xr:uid="{6ECEC57D-00C8-478E-8EF2-37A08A709B8A}"/>
    <cellStyle name="Normal" xfId="0" builtinId="0"/>
    <cellStyle name="Normal 15" xfId="7" xr:uid="{14C9BDD9-1759-44DD-8AD1-A70191B26880}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Avista/GRC/Prior%20GRCs/UE-200900%20GRC/Joanna%20Huang/RR/200900-01-894-Staff-Huang-Exh.JH-2r-7-1-21.xlsx" TargetMode="External"/><Relationship Id="rId1" Type="http://schemas.openxmlformats.org/officeDocument/2006/relationships/externalLinkPath" Target="/personal/joanna_huang_utc_wa_gov/Documents/Documents/Avista/GRC/Prior%20GRCs/UE-200900%20GRC/Joanna%20Huang/RR/200900-01-894-Staff-Huang-Exh.JH-2r-7-1-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backup%20230172-PAC-SLC-RevReqSummaryModelWA23GRCY2-ExhSLC5.xlsx" TargetMode="External"/><Relationship Id="rId1" Type="http://schemas.openxmlformats.org/officeDocument/2006/relationships/externalLinkPath" Target="backup%20230172-PAC-SLC-RevReqSummaryModelWA23GRCY2-ExhSLC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.5PermanentScheduleMAdjY2-ExhSLC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/>
      <sheetData sheetId="2"/>
      <sheetData sheetId="3"/>
      <sheetData sheetId="4">
        <row r="8">
          <cell r="E8" t="str">
            <v xml:space="preserve">Results of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ro Forma Adj"/>
      <sheetName val="ROR &amp; Conversion Factor"/>
      <sheetName val="Interest Calc"/>
      <sheetName val="COMPARISON"/>
      <sheetName val="Exhibit No. SLC-3 pg 1"/>
      <sheetName val="Exhibit No. SLC-3 pg 2 - 3"/>
      <sheetName val="Exhibit No. SLC-5 pg 3"/>
      <sheetName val="Tab 13"/>
      <sheetName val="Tab 14"/>
      <sheetName val="Tab 15"/>
      <sheetName val="Tab 16"/>
      <sheetName val="Variables"/>
      <sheetName val="Interest Calc- Exh. JH-4"/>
    </sheetNames>
    <sheetDataSet>
      <sheetData sheetId="0" refreshError="1">
        <row r="37">
          <cell r="F37">
            <v>77207942.773837626</v>
          </cell>
        </row>
        <row r="64">
          <cell r="F64">
            <v>1097327339.952817</v>
          </cell>
        </row>
        <row r="67">
          <cell r="F67">
            <v>9.4E-2</v>
          </cell>
          <cell r="J67">
            <v>6.4674401704273118E-2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.5"/>
      <sheetName val="230172-PAC-SLC-15"/>
    </sheetNames>
    <sheetDataSet>
      <sheetData sheetId="0">
        <row r="11">
          <cell r="I11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R102"/>
  <sheetViews>
    <sheetView tabSelected="1" showOutlineSymbols="0" zoomScale="75" zoomScaleNormal="75" workbookViewId="0">
      <selection activeCell="B1" sqref="B1:B1048576"/>
    </sheetView>
  </sheetViews>
  <sheetFormatPr defaultColWidth="9.15234375" defaultRowHeight="12.45" x14ac:dyDescent="0.3"/>
  <cols>
    <col min="1" max="1" width="41.69140625" style="19" customWidth="1"/>
    <col min="2" max="2" width="18.23046875" style="19" customWidth="1"/>
    <col min="3" max="3" width="0.69140625" style="19" customWidth="1"/>
    <col min="4" max="4" width="15.69140625" style="19" customWidth="1"/>
    <col min="5" max="5" width="0.69140625" style="19" customWidth="1"/>
    <col min="6" max="6" width="16.69140625" style="19" customWidth="1"/>
    <col min="7" max="7" width="0.69140625" style="19" customWidth="1"/>
    <col min="8" max="8" width="15.69140625" style="19" customWidth="1"/>
    <col min="9" max="9" width="0.69140625" style="19" customWidth="1"/>
    <col min="10" max="10" width="15.69140625" style="19" customWidth="1"/>
    <col min="11" max="11" width="0.69140625" style="19" customWidth="1"/>
    <col min="12" max="12" width="15.69140625" style="19" customWidth="1"/>
    <col min="13" max="13" width="0.69140625" style="19" customWidth="1"/>
    <col min="14" max="14" width="15.84375" style="19" customWidth="1"/>
    <col min="15" max="15" width="9.15234375" style="19"/>
    <col min="16" max="16" width="14" style="19" bestFit="1" customWidth="1"/>
    <col min="17" max="17" width="9.15234375" style="19"/>
    <col min="18" max="18" width="15.15234375" style="19" bestFit="1" customWidth="1"/>
    <col min="19" max="16384" width="9.15234375" style="19"/>
  </cols>
  <sheetData>
    <row r="1" spans="1:18" x14ac:dyDescent="0.3">
      <c r="A1" s="5" t="s">
        <v>5</v>
      </c>
      <c r="N1" s="224"/>
    </row>
    <row r="2" spans="1:18" x14ac:dyDescent="0.3">
      <c r="A2" s="1" t="s">
        <v>125</v>
      </c>
    </row>
    <row r="3" spans="1:18" x14ac:dyDescent="0.3">
      <c r="A3" s="1" t="s">
        <v>230</v>
      </c>
    </row>
    <row r="4" spans="1:18" x14ac:dyDescent="0.3">
      <c r="A4" s="1"/>
    </row>
    <row r="5" spans="1:18" x14ac:dyDescent="0.3">
      <c r="A5" s="1"/>
      <c r="B5" s="34" t="s">
        <v>73</v>
      </c>
      <c r="C5" s="35"/>
      <c r="D5" s="34" t="s">
        <v>70</v>
      </c>
      <c r="E5" s="35"/>
      <c r="F5" s="34" t="s">
        <v>71</v>
      </c>
      <c r="G5" s="35"/>
      <c r="H5" s="34" t="s">
        <v>72</v>
      </c>
      <c r="I5" s="35"/>
      <c r="J5" s="34" t="s">
        <v>73</v>
      </c>
      <c r="K5" s="35"/>
      <c r="L5" s="34" t="s">
        <v>170</v>
      </c>
      <c r="M5" s="35"/>
      <c r="N5" s="34" t="s">
        <v>171</v>
      </c>
    </row>
    <row r="6" spans="1:18" x14ac:dyDescent="0.3">
      <c r="A6" s="1"/>
      <c r="B6" s="40" t="s">
        <v>74</v>
      </c>
      <c r="C6" s="41"/>
      <c r="D6" s="40" t="s">
        <v>253</v>
      </c>
      <c r="E6" s="41"/>
      <c r="F6" s="41"/>
      <c r="G6" s="41"/>
      <c r="H6" s="41"/>
      <c r="J6" s="41" t="s">
        <v>74</v>
      </c>
      <c r="L6" s="42"/>
      <c r="N6" s="42" t="s">
        <v>172</v>
      </c>
    </row>
    <row r="7" spans="1:18" ht="43.5" customHeight="1" x14ac:dyDescent="0.3">
      <c r="B7" s="33" t="s">
        <v>235</v>
      </c>
      <c r="C7" s="33"/>
      <c r="D7" s="33" t="s">
        <v>166</v>
      </c>
      <c r="E7" s="33"/>
      <c r="F7" s="33" t="s">
        <v>167</v>
      </c>
      <c r="G7" s="33"/>
      <c r="H7" s="33" t="s">
        <v>227</v>
      </c>
      <c r="I7" s="33"/>
      <c r="J7" s="33" t="s">
        <v>228</v>
      </c>
      <c r="K7" s="33"/>
      <c r="L7" s="33" t="s">
        <v>173</v>
      </c>
      <c r="M7" s="33"/>
      <c r="N7" s="33" t="s">
        <v>174</v>
      </c>
    </row>
    <row r="8" spans="1:18" x14ac:dyDescent="0.3">
      <c r="A8" s="11" t="s">
        <v>8</v>
      </c>
      <c r="B8" s="193"/>
      <c r="C8" s="9"/>
      <c r="D8" s="9"/>
      <c r="E8" s="9"/>
      <c r="F8" s="9"/>
      <c r="G8" s="9"/>
      <c r="H8" s="9"/>
      <c r="J8" s="9"/>
      <c r="L8" s="9"/>
      <c r="N8" s="9"/>
    </row>
    <row r="9" spans="1:18" x14ac:dyDescent="0.3">
      <c r="A9" s="11" t="s">
        <v>9</v>
      </c>
      <c r="B9" s="13">
        <v>405024315.90073657</v>
      </c>
      <c r="C9" s="9"/>
      <c r="D9" s="9">
        <f>-(B37-(B64*Overall_ROR))/gross_up_factor</f>
        <v>16621098.021759475</v>
      </c>
      <c r="E9" s="9"/>
      <c r="F9" s="9">
        <f>SUM(B9:D9)</f>
        <v>421645413.92249602</v>
      </c>
      <c r="G9" s="9"/>
      <c r="H9" s="9">
        <f>'Pro Forma Adj'!B12</f>
        <v>0</v>
      </c>
      <c r="J9" s="9">
        <f>F9+H9</f>
        <v>421645413.92249602</v>
      </c>
      <c r="L9" s="13">
        <f>-(J37-(J64*Overall_ROR))/gross_up_factor-F68</f>
        <v>26063308.876654346</v>
      </c>
      <c r="N9" s="9">
        <f>J9+L9</f>
        <v>447708722.79915035</v>
      </c>
      <c r="P9" s="189">
        <f>L9-J68</f>
        <v>0</v>
      </c>
      <c r="Q9" s="19" t="s">
        <v>178</v>
      </c>
      <c r="R9" s="3"/>
    </row>
    <row r="10" spans="1:18" x14ac:dyDescent="0.3">
      <c r="A10" s="11" t="s">
        <v>10</v>
      </c>
      <c r="B10" s="13">
        <v>0</v>
      </c>
      <c r="C10" s="9"/>
      <c r="D10" s="9"/>
      <c r="E10" s="9"/>
      <c r="F10" s="9">
        <f t="shared" ref="F10:F12" si="0">SUM(B10:D10)</f>
        <v>0</v>
      </c>
      <c r="G10" s="9"/>
      <c r="H10" s="9">
        <f>'Pro Forma Adj'!B13</f>
        <v>0</v>
      </c>
      <c r="J10" s="9">
        <f>F10+H10</f>
        <v>0</v>
      </c>
      <c r="L10" s="9"/>
      <c r="N10" s="9">
        <f>J10+L10</f>
        <v>0</v>
      </c>
      <c r="R10" s="189"/>
    </row>
    <row r="11" spans="1:18" x14ac:dyDescent="0.3">
      <c r="A11" s="11" t="s">
        <v>11</v>
      </c>
      <c r="B11" s="13">
        <v>20170215.172616381</v>
      </c>
      <c r="C11" s="9"/>
      <c r="D11" s="9"/>
      <c r="E11" s="9"/>
      <c r="F11" s="9">
        <f t="shared" si="0"/>
        <v>20170215.172616381</v>
      </c>
      <c r="G11" s="9"/>
      <c r="H11" s="9">
        <f>'Pro Forma Adj'!B14</f>
        <v>0</v>
      </c>
      <c r="J11" s="9">
        <f>F11+H11</f>
        <v>20170215.172616381</v>
      </c>
      <c r="L11" s="9"/>
      <c r="N11" s="9">
        <f>J11+L11</f>
        <v>20170215.172616381</v>
      </c>
      <c r="P11" s="3"/>
    </row>
    <row r="12" spans="1:18" x14ac:dyDescent="0.3">
      <c r="A12" s="11" t="s">
        <v>12</v>
      </c>
      <c r="B12" s="13">
        <v>20654359.453849081</v>
      </c>
      <c r="C12" s="9"/>
      <c r="D12" s="9"/>
      <c r="E12" s="9"/>
      <c r="F12" s="9">
        <f t="shared" si="0"/>
        <v>20654359.453849081</v>
      </c>
      <c r="G12" s="9"/>
      <c r="H12" s="9">
        <f>'Pro Forma Adj'!B15</f>
        <v>2100780.9236015039</v>
      </c>
      <c r="J12" s="9">
        <f>F12+H12</f>
        <v>22755140.377450585</v>
      </c>
      <c r="L12" s="9"/>
      <c r="N12" s="9">
        <f>J12+L12</f>
        <v>22755140.377450585</v>
      </c>
      <c r="P12" s="3"/>
      <c r="Q12" s="189"/>
    </row>
    <row r="13" spans="1:18" ht="12.9" thickBot="1" x14ac:dyDescent="0.35">
      <c r="A13" s="11" t="s">
        <v>13</v>
      </c>
      <c r="B13" s="10">
        <v>445848890.52720201</v>
      </c>
      <c r="C13" s="9"/>
      <c r="D13" s="10">
        <f>SUM(D9:D12)</f>
        <v>16621098.021759475</v>
      </c>
      <c r="E13" s="9"/>
      <c r="F13" s="10">
        <f>SUM(F9:F12)</f>
        <v>462469988.54896146</v>
      </c>
      <c r="G13" s="9"/>
      <c r="H13" s="10">
        <f>SUM(H9:H12)</f>
        <v>2100780.9236015039</v>
      </c>
      <c r="J13" s="10">
        <f>SUM(J9:J12)</f>
        <v>464570769.47256297</v>
      </c>
      <c r="L13" s="10">
        <f>SUM(L9:L12)</f>
        <v>26063308.876654346</v>
      </c>
      <c r="N13" s="10">
        <f>SUM(N9:N12)</f>
        <v>490634078.3492173</v>
      </c>
      <c r="P13" s="19">
        <f>+((Restated_rate_base*7.04%)-Restated_Op_revenue)/gross_up_factor</f>
        <v>25236118.248666335</v>
      </c>
    </row>
    <row r="14" spans="1:18" ht="12.9" thickTop="1" x14ac:dyDescent="0.3">
      <c r="A14" s="11"/>
      <c r="B14" s="9"/>
      <c r="C14" s="9"/>
      <c r="D14" s="9"/>
      <c r="E14" s="9"/>
      <c r="F14" s="9"/>
      <c r="G14" s="9"/>
      <c r="H14" s="9"/>
      <c r="J14" s="9"/>
      <c r="L14" s="9"/>
      <c r="N14" s="9"/>
    </row>
    <row r="15" spans="1:18" x14ac:dyDescent="0.3">
      <c r="A15" s="11" t="s">
        <v>14</v>
      </c>
      <c r="B15" s="9"/>
      <c r="C15" s="9"/>
      <c r="D15" s="9"/>
      <c r="E15" s="9"/>
      <c r="F15" s="9"/>
      <c r="G15" s="9"/>
      <c r="H15" s="9"/>
      <c r="J15" s="9"/>
      <c r="L15" s="9"/>
      <c r="N15" s="9"/>
    </row>
    <row r="16" spans="1:18" x14ac:dyDescent="0.3">
      <c r="A16" s="11" t="s">
        <v>15</v>
      </c>
      <c r="B16" s="13">
        <v>58729769.394297048</v>
      </c>
      <c r="C16" s="9"/>
      <c r="D16" s="9"/>
      <c r="E16" s="9"/>
      <c r="F16" s="9">
        <f t="shared" ref="F16:F34" si="1">SUM(B16:D16)</f>
        <v>58729769.394297048</v>
      </c>
      <c r="G16" s="9"/>
      <c r="H16" s="9">
        <f>'Pro Forma Adj'!B19</f>
        <v>120646.8440166338</v>
      </c>
      <c r="J16" s="9">
        <f t="shared" ref="J16:J25" si="2">F16+H16</f>
        <v>58850416.238313682</v>
      </c>
      <c r="L16" s="9"/>
      <c r="N16" s="9">
        <f t="shared" ref="N16:N25" si="3">J16+L16</f>
        <v>58850416.238313682</v>
      </c>
    </row>
    <row r="17" spans="1:14" x14ac:dyDescent="0.3">
      <c r="A17" s="11" t="s">
        <v>16</v>
      </c>
      <c r="B17" s="13">
        <v>0</v>
      </c>
      <c r="C17" s="9"/>
      <c r="D17" s="9"/>
      <c r="E17" s="9"/>
      <c r="F17" s="9">
        <f t="shared" si="1"/>
        <v>0</v>
      </c>
      <c r="G17" s="9"/>
      <c r="H17" s="9">
        <f>'Pro Forma Adj'!B20</f>
        <v>0</v>
      </c>
      <c r="J17" s="9">
        <f t="shared" si="2"/>
        <v>0</v>
      </c>
      <c r="L17" s="9"/>
      <c r="N17" s="9">
        <f t="shared" si="3"/>
        <v>0</v>
      </c>
    </row>
    <row r="18" spans="1:14" x14ac:dyDescent="0.3">
      <c r="A18" s="11" t="s">
        <v>17</v>
      </c>
      <c r="B18" s="13">
        <v>3411022.4487837013</v>
      </c>
      <c r="C18" s="9"/>
      <c r="D18" s="9"/>
      <c r="E18" s="9"/>
      <c r="F18" s="9">
        <f t="shared" si="1"/>
        <v>3411022.4487837013</v>
      </c>
      <c r="G18" s="9"/>
      <c r="H18" s="9">
        <f>'Pro Forma Adj'!B21</f>
        <v>42898.766456511425</v>
      </c>
      <c r="J18" s="9">
        <f t="shared" si="2"/>
        <v>3453921.2152402126</v>
      </c>
      <c r="L18" s="9"/>
      <c r="N18" s="9">
        <f t="shared" si="3"/>
        <v>3453921.2152402126</v>
      </c>
    </row>
    <row r="19" spans="1:14" x14ac:dyDescent="0.3">
      <c r="A19" s="11" t="s">
        <v>18</v>
      </c>
      <c r="B19" s="13">
        <v>175427977.32829875</v>
      </c>
      <c r="C19" s="9"/>
      <c r="D19" s="9"/>
      <c r="E19" s="9"/>
      <c r="F19" s="9">
        <f t="shared" si="1"/>
        <v>175427977.32829875</v>
      </c>
      <c r="G19" s="9"/>
      <c r="H19" s="9">
        <f>'Pro Forma Adj'!B22</f>
        <v>468523.5706248373</v>
      </c>
      <c r="J19" s="9">
        <f t="shared" si="2"/>
        <v>175896500.89892358</v>
      </c>
      <c r="L19" s="9"/>
      <c r="N19" s="9">
        <f t="shared" si="3"/>
        <v>175896500.89892358</v>
      </c>
    </row>
    <row r="20" spans="1:14" x14ac:dyDescent="0.3">
      <c r="A20" s="11" t="s">
        <v>19</v>
      </c>
      <c r="B20" s="13">
        <v>19734290.433806315</v>
      </c>
      <c r="C20" s="9"/>
      <c r="D20" s="9"/>
      <c r="E20" s="9"/>
      <c r="F20" s="9">
        <f t="shared" si="1"/>
        <v>19734290.433806315</v>
      </c>
      <c r="G20" s="9"/>
      <c r="H20" s="9">
        <f>'Pro Forma Adj'!B23</f>
        <v>41939.221287158143</v>
      </c>
      <c r="J20" s="9">
        <f t="shared" si="2"/>
        <v>19776229.655093472</v>
      </c>
      <c r="L20" s="9"/>
      <c r="N20" s="9">
        <f t="shared" si="3"/>
        <v>19776229.655093472</v>
      </c>
    </row>
    <row r="21" spans="1:14" x14ac:dyDescent="0.3">
      <c r="A21" s="11" t="s">
        <v>20</v>
      </c>
      <c r="B21" s="13">
        <v>18372395.666419588</v>
      </c>
      <c r="C21" s="9"/>
      <c r="D21" s="9"/>
      <c r="E21" s="9"/>
      <c r="F21" s="9">
        <f t="shared" si="1"/>
        <v>18372395.666419588</v>
      </c>
      <c r="G21" s="9"/>
      <c r="H21" s="9">
        <f>'Pro Forma Adj'!B24</f>
        <v>283467.2928264293</v>
      </c>
      <c r="J21" s="9">
        <f t="shared" si="2"/>
        <v>18655862.959246017</v>
      </c>
      <c r="L21" s="9"/>
      <c r="N21" s="9">
        <f t="shared" si="3"/>
        <v>18655862.959246017</v>
      </c>
    </row>
    <row r="22" spans="1:14" x14ac:dyDescent="0.3">
      <c r="A22" s="11" t="s">
        <v>21</v>
      </c>
      <c r="B22" s="13">
        <v>6707276.6678529475</v>
      </c>
      <c r="C22" s="9"/>
      <c r="D22" s="9">
        <f>D9*uncollectible_perc</f>
        <v>93008.417329678079</v>
      </c>
      <c r="E22" s="9"/>
      <c r="F22" s="9">
        <f t="shared" si="1"/>
        <v>6800285.0851826258</v>
      </c>
      <c r="G22" s="9"/>
      <c r="H22" s="9">
        <f>'Pro Forma Adj'!B25</f>
        <v>64890.714644478132</v>
      </c>
      <c r="J22" s="9">
        <f t="shared" si="2"/>
        <v>6865175.7998271035</v>
      </c>
      <c r="L22" s="9">
        <f>L9*uncollectible_perc</f>
        <v>145845.18458519742</v>
      </c>
      <c r="N22" s="9">
        <f t="shared" si="3"/>
        <v>7011020.9844123013</v>
      </c>
    </row>
    <row r="23" spans="1:14" x14ac:dyDescent="0.3">
      <c r="A23" s="11" t="s">
        <v>22</v>
      </c>
      <c r="B23" s="13">
        <v>702715.70527967275</v>
      </c>
      <c r="C23" s="9"/>
      <c r="D23" s="9"/>
      <c r="E23" s="9"/>
      <c r="F23" s="9">
        <f t="shared" si="1"/>
        <v>702715.70527967275</v>
      </c>
      <c r="G23" s="9"/>
      <c r="H23" s="9">
        <f>'Pro Forma Adj'!B26</f>
        <v>26362.070195963275</v>
      </c>
      <c r="J23" s="9">
        <f t="shared" si="2"/>
        <v>729077.77547563601</v>
      </c>
      <c r="L23" s="9"/>
      <c r="N23" s="9">
        <f t="shared" si="3"/>
        <v>729077.77547563601</v>
      </c>
    </row>
    <row r="24" spans="1:14" x14ac:dyDescent="0.3">
      <c r="A24" s="11" t="s">
        <v>23</v>
      </c>
      <c r="B24" s="13">
        <v>0</v>
      </c>
      <c r="C24" s="9"/>
      <c r="D24" s="9"/>
      <c r="E24" s="9"/>
      <c r="F24" s="9">
        <f t="shared" si="1"/>
        <v>0</v>
      </c>
      <c r="G24" s="9"/>
      <c r="H24" s="9">
        <f>'Pro Forma Adj'!B27</f>
        <v>0</v>
      </c>
      <c r="J24" s="9">
        <f t="shared" si="2"/>
        <v>0</v>
      </c>
      <c r="L24" s="9"/>
      <c r="N24" s="9">
        <f t="shared" si="3"/>
        <v>0</v>
      </c>
    </row>
    <row r="25" spans="1:14" x14ac:dyDescent="0.3">
      <c r="A25" s="11" t="s">
        <v>24</v>
      </c>
      <c r="B25" s="13">
        <v>14487190.813050214</v>
      </c>
      <c r="C25" s="9"/>
      <c r="D25" s="9"/>
      <c r="E25" s="9"/>
      <c r="F25" s="9">
        <f t="shared" si="1"/>
        <v>14487190.813050214</v>
      </c>
      <c r="G25" s="9"/>
      <c r="H25" s="9">
        <f>'Pro Forma Adj'!B28</f>
        <v>56172.286642597501</v>
      </c>
      <c r="J25" s="9">
        <f t="shared" si="2"/>
        <v>14543363.099692812</v>
      </c>
      <c r="L25" s="9"/>
      <c r="N25" s="9">
        <f t="shared" si="3"/>
        <v>14543363.099692812</v>
      </c>
    </row>
    <row r="26" spans="1:14" x14ac:dyDescent="0.3">
      <c r="A26" s="11" t="s">
        <v>25</v>
      </c>
      <c r="B26" s="7">
        <v>297572638.45778817</v>
      </c>
      <c r="C26" s="9"/>
      <c r="D26" s="7">
        <f>SUM(D16:D25)</f>
        <v>93008.417329678079</v>
      </c>
      <c r="E26" s="9"/>
      <c r="F26" s="7">
        <f>SUM(F16:F25)</f>
        <v>297665646.87511784</v>
      </c>
      <c r="G26" s="9"/>
      <c r="H26" s="7">
        <f>SUM(H16:H25)</f>
        <v>1104900.7666946088</v>
      </c>
      <c r="J26" s="7">
        <f>SUM(J16:J25)</f>
        <v>298770547.6418125</v>
      </c>
      <c r="L26" s="7">
        <f>SUM(L16:L25)</f>
        <v>145845.18458519742</v>
      </c>
      <c r="N26" s="7">
        <f>SUM(N16:N25)</f>
        <v>298916392.82639772</v>
      </c>
    </row>
    <row r="27" spans="1:14" x14ac:dyDescent="0.3">
      <c r="A27" s="11" t="s">
        <v>26</v>
      </c>
      <c r="B27" s="13">
        <v>55566434.392042927</v>
      </c>
      <c r="C27" s="9"/>
      <c r="D27" s="13"/>
      <c r="E27" s="9"/>
      <c r="F27" s="13">
        <f t="shared" si="1"/>
        <v>55566434.392042927</v>
      </c>
      <c r="G27" s="9"/>
      <c r="H27" s="13">
        <f>'Pro Forma Adj'!B30</f>
        <v>7746703.228831457</v>
      </c>
      <c r="J27" s="9">
        <f t="shared" ref="J27:J34" si="4">F27+H27</f>
        <v>63313137.620874383</v>
      </c>
      <c r="L27" s="9"/>
      <c r="N27" s="9">
        <f t="shared" ref="N27:N34" si="5">J27+L27</f>
        <v>63313137.620874383</v>
      </c>
    </row>
    <row r="28" spans="1:14" x14ac:dyDescent="0.3">
      <c r="A28" s="11" t="s">
        <v>27</v>
      </c>
      <c r="B28" s="13">
        <v>15472658.727303546</v>
      </c>
      <c r="C28" s="9"/>
      <c r="D28" s="13"/>
      <c r="E28" s="9"/>
      <c r="F28" s="13">
        <f t="shared" si="1"/>
        <v>15472658.727303546</v>
      </c>
      <c r="G28" s="9"/>
      <c r="H28" s="13">
        <f>'Pro Forma Adj'!B31</f>
        <v>-5780426.9617535602</v>
      </c>
      <c r="J28" s="9">
        <f t="shared" si="4"/>
        <v>9692231.7655499857</v>
      </c>
      <c r="L28" s="9"/>
      <c r="N28" s="9">
        <f t="shared" si="5"/>
        <v>9692231.7655499857</v>
      </c>
    </row>
    <row r="29" spans="1:14" x14ac:dyDescent="0.3">
      <c r="A29" s="11" t="s">
        <v>28</v>
      </c>
      <c r="B29" s="13">
        <v>28898159.683986705</v>
      </c>
      <c r="C29" s="9"/>
      <c r="D29" s="13">
        <f>D9*SUM('ROR &amp; Conversion Factor'!D23:D26)</f>
        <v>710286.00286186929</v>
      </c>
      <c r="E29" s="9"/>
      <c r="F29" s="13">
        <f t="shared" si="1"/>
        <v>29608445.686848573</v>
      </c>
      <c r="G29" s="9"/>
      <c r="H29" s="13">
        <f>'Pro Forma Adj'!B32</f>
        <v>1882727</v>
      </c>
      <c r="J29" s="9">
        <f t="shared" si="4"/>
        <v>31491172.686848573</v>
      </c>
      <c r="L29" s="9">
        <f>L9*(WUTC_reg_fee_perc+WA_rev_tax_perc)</f>
        <v>1113789.4415349467</v>
      </c>
      <c r="N29" s="9">
        <f t="shared" si="5"/>
        <v>32604962.128383521</v>
      </c>
    </row>
    <row r="30" spans="1:14" x14ac:dyDescent="0.3">
      <c r="A30" s="11" t="s">
        <v>29</v>
      </c>
      <c r="B30" s="13">
        <v>-13955564.517948546</v>
      </c>
      <c r="C30" s="9"/>
      <c r="D30" s="13">
        <f>D82</f>
        <v>3321738.7563292645</v>
      </c>
      <c r="E30" s="9"/>
      <c r="F30" s="13">
        <f t="shared" si="1"/>
        <v>-10633825.761619281</v>
      </c>
      <c r="G30" s="9"/>
      <c r="H30" s="13">
        <f>H84</f>
        <v>-4245032.1177057931</v>
      </c>
      <c r="J30" s="13">
        <f t="shared" si="4"/>
        <v>-14878857.879325073</v>
      </c>
      <c r="L30" s="13">
        <f>L84</f>
        <v>5208771.5926121818</v>
      </c>
      <c r="M30" s="13">
        <f>M84</f>
        <v>0</v>
      </c>
      <c r="N30" s="13">
        <f t="shared" si="5"/>
        <v>-9670086.2867128924</v>
      </c>
    </row>
    <row r="31" spans="1:14" x14ac:dyDescent="0.3">
      <c r="A31" s="11" t="s">
        <v>30</v>
      </c>
      <c r="B31" s="13">
        <v>0</v>
      </c>
      <c r="C31" s="9"/>
      <c r="D31" s="13"/>
      <c r="E31" s="9"/>
      <c r="F31" s="13">
        <f t="shared" si="1"/>
        <v>0</v>
      </c>
      <c r="G31" s="9"/>
      <c r="H31" s="13">
        <f>H79</f>
        <v>0</v>
      </c>
      <c r="J31" s="9">
        <f t="shared" si="4"/>
        <v>0</v>
      </c>
      <c r="L31" s="9">
        <f>L79</f>
        <v>0</v>
      </c>
      <c r="N31" s="9">
        <f t="shared" si="5"/>
        <v>0</v>
      </c>
    </row>
    <row r="32" spans="1:14" x14ac:dyDescent="0.3">
      <c r="A32" s="11" t="s">
        <v>31</v>
      </c>
      <c r="B32" s="13">
        <v>-2772523.6580158793</v>
      </c>
      <c r="C32" s="9"/>
      <c r="D32" s="13"/>
      <c r="E32" s="9"/>
      <c r="F32" s="13">
        <f t="shared" si="1"/>
        <v>-2772523.6580158793</v>
      </c>
      <c r="G32" s="9"/>
      <c r="H32" s="13">
        <f>'Pro Forma Adj'!B35</f>
        <v>2880541.9187977174</v>
      </c>
      <c r="J32" s="9">
        <f t="shared" si="4"/>
        <v>108018.26078183809</v>
      </c>
      <c r="L32" s="9"/>
      <c r="N32" s="9">
        <f t="shared" si="5"/>
        <v>108018.26078183809</v>
      </c>
    </row>
    <row r="33" spans="1:14" x14ac:dyDescent="0.3">
      <c r="A33" s="11" t="s">
        <v>32</v>
      </c>
      <c r="B33" s="13">
        <v>0</v>
      </c>
      <c r="C33" s="9"/>
      <c r="D33" s="13"/>
      <c r="E33" s="9"/>
      <c r="F33" s="13">
        <f t="shared" si="1"/>
        <v>0</v>
      </c>
      <c r="G33" s="9"/>
      <c r="H33" s="13">
        <f>'Pro Forma Adj'!B36</f>
        <v>0</v>
      </c>
      <c r="J33" s="9">
        <f t="shared" si="4"/>
        <v>0</v>
      </c>
      <c r="L33" s="9"/>
      <c r="N33" s="9">
        <f t="shared" si="5"/>
        <v>0</v>
      </c>
    </row>
    <row r="34" spans="1:14" x14ac:dyDescent="0.3">
      <c r="A34" s="11" t="s">
        <v>33</v>
      </c>
      <c r="B34" s="13">
        <v>-98259.164157068604</v>
      </c>
      <c r="C34" s="9"/>
      <c r="D34" s="13"/>
      <c r="E34" s="9"/>
      <c r="F34" s="13">
        <f t="shared" si="1"/>
        <v>-98259.164157068604</v>
      </c>
      <c r="G34" s="9"/>
      <c r="H34" s="13">
        <f>'Pro Forma Adj'!B37</f>
        <v>0</v>
      </c>
      <c r="J34" s="9">
        <f t="shared" si="4"/>
        <v>-98259.164157068604</v>
      </c>
      <c r="L34" s="9"/>
      <c r="N34" s="9">
        <f t="shared" si="5"/>
        <v>-98259.164157068604</v>
      </c>
    </row>
    <row r="35" spans="1:14" x14ac:dyDescent="0.3">
      <c r="A35" s="11" t="s">
        <v>34</v>
      </c>
      <c r="B35" s="7">
        <v>380683543.92099983</v>
      </c>
      <c r="C35" s="9"/>
      <c r="D35" s="7">
        <f>SUM(D26:D34)</f>
        <v>4125033.1765208119</v>
      </c>
      <c r="E35" s="9"/>
      <c r="F35" s="7">
        <f>SUM(F26:F34)</f>
        <v>384808577.09752065</v>
      </c>
      <c r="G35" s="9"/>
      <c r="H35" s="139">
        <f>SUM(H26:H34)</f>
        <v>3589413.8348644301</v>
      </c>
      <c r="J35" s="7">
        <f>SUM(J26:J34)</f>
        <v>388397990.93238509</v>
      </c>
      <c r="L35" s="7">
        <f>SUM(L26:L34)</f>
        <v>6468406.2187323254</v>
      </c>
      <c r="N35" s="7">
        <f>SUM(N26:N34)</f>
        <v>394866397.15111744</v>
      </c>
    </row>
    <row r="36" spans="1:14" x14ac:dyDescent="0.3">
      <c r="A36" s="11"/>
      <c r="B36" s="9"/>
      <c r="C36" s="9"/>
      <c r="D36" s="13"/>
      <c r="E36" s="9"/>
      <c r="F36" s="13"/>
      <c r="G36" s="9"/>
      <c r="H36" s="13"/>
      <c r="J36" s="9"/>
      <c r="L36" s="9"/>
      <c r="N36" s="9"/>
    </row>
    <row r="37" spans="1:14" ht="12.9" thickBot="1" x14ac:dyDescent="0.35">
      <c r="A37" s="11" t="s">
        <v>35</v>
      </c>
      <c r="B37" s="10">
        <v>65165346.606202185</v>
      </c>
      <c r="C37" s="9"/>
      <c r="D37" s="10">
        <f>D13-D35</f>
        <v>12496064.845238663</v>
      </c>
      <c r="E37" s="9"/>
      <c r="F37" s="10">
        <f>F13-F35</f>
        <v>77661411.451440811</v>
      </c>
      <c r="G37" s="9"/>
      <c r="H37" s="140">
        <f>H13-H35</f>
        <v>-1488632.9112629262</v>
      </c>
      <c r="J37" s="10">
        <f>J13-J35</f>
        <v>76172778.540177882</v>
      </c>
      <c r="L37" s="10">
        <f>L13-L35</f>
        <v>19594902.657922022</v>
      </c>
      <c r="N37" s="10">
        <f>N13-N35</f>
        <v>95767681.198099852</v>
      </c>
    </row>
    <row r="38" spans="1:14" ht="12.9" thickTop="1" x14ac:dyDescent="0.3">
      <c r="A38" s="11"/>
      <c r="B38" s="9"/>
      <c r="C38" s="9"/>
      <c r="D38" s="13"/>
      <c r="E38" s="9"/>
      <c r="F38" s="13"/>
      <c r="G38" s="9"/>
      <c r="H38" s="13"/>
      <c r="J38" s="9"/>
      <c r="L38" s="9"/>
      <c r="N38" s="9"/>
    </row>
    <row r="39" spans="1:14" x14ac:dyDescent="0.3">
      <c r="A39" s="11" t="s">
        <v>36</v>
      </c>
      <c r="B39" s="9"/>
      <c r="C39" s="9"/>
      <c r="D39" s="9"/>
      <c r="E39" s="9"/>
      <c r="F39" s="9"/>
      <c r="G39" s="9"/>
      <c r="H39" s="9"/>
      <c r="J39" s="9"/>
      <c r="L39" s="9"/>
      <c r="N39" s="9"/>
    </row>
    <row r="40" spans="1:14" x14ac:dyDescent="0.3">
      <c r="A40" s="11" t="s">
        <v>37</v>
      </c>
      <c r="B40" s="13">
        <v>2404039143.8175812</v>
      </c>
      <c r="C40" s="9"/>
      <c r="D40" s="9"/>
      <c r="E40" s="9"/>
      <c r="F40" s="9">
        <f t="shared" ref="F40:F50" si="6">SUM(B40:D40)</f>
        <v>2404039143.8175812</v>
      </c>
      <c r="G40" s="9"/>
      <c r="H40" s="9">
        <f>'Pro Forma Adj'!B43</f>
        <v>334148578.84063983</v>
      </c>
      <c r="J40" s="9">
        <f t="shared" ref="J40:J50" si="7">F40+H40</f>
        <v>2738187722.6582212</v>
      </c>
      <c r="L40" s="9"/>
      <c r="N40" s="9">
        <f t="shared" ref="N40:N50" si="8">J40+L40</f>
        <v>2738187722.6582212</v>
      </c>
    </row>
    <row r="41" spans="1:14" x14ac:dyDescent="0.3">
      <c r="A41" s="11" t="s">
        <v>38</v>
      </c>
      <c r="B41" s="13">
        <v>467184.71621561563</v>
      </c>
      <c r="C41" s="9"/>
      <c r="D41" s="9"/>
      <c r="E41" s="9"/>
      <c r="F41" s="9">
        <f t="shared" si="6"/>
        <v>467184.71621561563</v>
      </c>
      <c r="G41" s="9"/>
      <c r="H41" s="9">
        <f>'Pro Forma Adj'!B44</f>
        <v>0</v>
      </c>
      <c r="J41" s="9">
        <f t="shared" si="7"/>
        <v>467184.71621561563</v>
      </c>
      <c r="L41" s="9"/>
      <c r="N41" s="9">
        <f t="shared" si="8"/>
        <v>467184.71621561563</v>
      </c>
    </row>
    <row r="42" spans="1:14" x14ac:dyDescent="0.3">
      <c r="A42" s="11" t="s">
        <v>39</v>
      </c>
      <c r="B42" s="13">
        <v>392246.6085648014</v>
      </c>
      <c r="C42" s="9"/>
      <c r="D42" s="9"/>
      <c r="E42" s="9"/>
      <c r="F42" s="9">
        <f t="shared" si="6"/>
        <v>392246.6085648014</v>
      </c>
      <c r="G42" s="9"/>
      <c r="H42" s="9">
        <f>'Pro Forma Adj'!B45</f>
        <v>-489243.1450514372</v>
      </c>
      <c r="J42" s="9">
        <f t="shared" si="7"/>
        <v>-96996.5364866358</v>
      </c>
      <c r="L42" s="9"/>
      <c r="N42" s="9">
        <f t="shared" si="8"/>
        <v>-96996.5364866358</v>
      </c>
    </row>
    <row r="43" spans="1:14" x14ac:dyDescent="0.3">
      <c r="A43" s="11" t="s">
        <v>40</v>
      </c>
      <c r="B43" s="13">
        <v>115844.19848648913</v>
      </c>
      <c r="C43" s="9"/>
      <c r="D43" s="9"/>
      <c r="E43" s="9"/>
      <c r="F43" s="9">
        <f t="shared" si="6"/>
        <v>115844.19848648913</v>
      </c>
      <c r="G43" s="9"/>
      <c r="H43" s="9">
        <f>'Pro Forma Adj'!B46</f>
        <v>0</v>
      </c>
      <c r="J43" s="9">
        <f t="shared" si="7"/>
        <v>115844.19848648913</v>
      </c>
      <c r="L43" s="9"/>
      <c r="N43" s="9">
        <f t="shared" si="8"/>
        <v>115844.19848648913</v>
      </c>
    </row>
    <row r="44" spans="1:14" x14ac:dyDescent="0.3">
      <c r="A44" s="11" t="s">
        <v>41</v>
      </c>
      <c r="B44" s="13">
        <v>0</v>
      </c>
      <c r="C44" s="9"/>
      <c r="D44" s="9"/>
      <c r="E44" s="9"/>
      <c r="F44" s="9">
        <f t="shared" si="6"/>
        <v>0</v>
      </c>
      <c r="G44" s="9"/>
      <c r="H44" s="9">
        <f>'Pro Forma Adj'!B47</f>
        <v>0</v>
      </c>
      <c r="J44" s="9">
        <f t="shared" si="7"/>
        <v>0</v>
      </c>
      <c r="L44" s="9"/>
      <c r="N44" s="9">
        <f t="shared" si="8"/>
        <v>0</v>
      </c>
    </row>
    <row r="45" spans="1:14" x14ac:dyDescent="0.3">
      <c r="A45" s="11" t="s">
        <v>42</v>
      </c>
      <c r="B45" s="13">
        <v>4.6566128730773926E-9</v>
      </c>
      <c r="C45" s="9"/>
      <c r="D45" s="9"/>
      <c r="E45" s="9"/>
      <c r="F45" s="9">
        <f t="shared" si="6"/>
        <v>4.6566128730773926E-9</v>
      </c>
      <c r="G45" s="9"/>
      <c r="H45" s="9">
        <f>'Pro Forma Adj'!B48</f>
        <v>0</v>
      </c>
      <c r="J45" s="9">
        <f t="shared" si="7"/>
        <v>4.6566128730773926E-9</v>
      </c>
      <c r="L45" s="9"/>
      <c r="N45" s="9">
        <f t="shared" si="8"/>
        <v>4.6566128730773926E-9</v>
      </c>
    </row>
    <row r="46" spans="1:14" x14ac:dyDescent="0.3">
      <c r="A46" s="11" t="s">
        <v>43</v>
      </c>
      <c r="B46" s="13">
        <v>0</v>
      </c>
      <c r="C46" s="9"/>
      <c r="D46" s="9"/>
      <c r="E46" s="9"/>
      <c r="F46" s="9">
        <f t="shared" si="6"/>
        <v>0</v>
      </c>
      <c r="G46" s="9"/>
      <c r="H46" s="9">
        <f>'Pro Forma Adj'!B49</f>
        <v>0</v>
      </c>
      <c r="J46" s="9">
        <f t="shared" si="7"/>
        <v>0</v>
      </c>
      <c r="L46" s="9"/>
      <c r="N46" s="9">
        <f t="shared" si="8"/>
        <v>0</v>
      </c>
    </row>
    <row r="47" spans="1:14" x14ac:dyDescent="0.3">
      <c r="A47" s="11" t="s">
        <v>44</v>
      </c>
      <c r="B47" s="13">
        <v>8.6884945631027222E-5</v>
      </c>
      <c r="C47" s="9"/>
      <c r="D47" s="9"/>
      <c r="E47" s="9"/>
      <c r="F47" s="9">
        <f t="shared" si="6"/>
        <v>8.6884945631027222E-5</v>
      </c>
      <c r="G47" s="9"/>
      <c r="H47" s="9">
        <f>'Pro Forma Adj'!B50</f>
        <v>0</v>
      </c>
      <c r="J47" s="9">
        <f t="shared" si="7"/>
        <v>8.6884945631027222E-5</v>
      </c>
      <c r="L47" s="9"/>
      <c r="N47" s="9">
        <f t="shared" si="8"/>
        <v>8.6884945631027222E-5</v>
      </c>
    </row>
    <row r="48" spans="1:14" x14ac:dyDescent="0.3">
      <c r="A48" s="11" t="s">
        <v>45</v>
      </c>
      <c r="B48" s="13">
        <v>29873668.417190563</v>
      </c>
      <c r="C48" s="9"/>
      <c r="D48" s="9"/>
      <c r="E48" s="9"/>
      <c r="F48" s="9">
        <f t="shared" si="6"/>
        <v>29873668.417190563</v>
      </c>
      <c r="G48" s="9"/>
      <c r="H48" s="9">
        <f>'Pro Forma Adj'!B51</f>
        <v>0</v>
      </c>
      <c r="J48" s="9">
        <f t="shared" si="7"/>
        <v>29873668.417190563</v>
      </c>
      <c r="L48" s="9"/>
      <c r="N48" s="9">
        <f t="shared" si="8"/>
        <v>29873668.417190563</v>
      </c>
    </row>
    <row r="49" spans="1:14" x14ac:dyDescent="0.3">
      <c r="A49" s="11" t="s">
        <v>46</v>
      </c>
      <c r="B49" s="13">
        <v>3311.89</v>
      </c>
      <c r="C49" s="9"/>
      <c r="D49" s="9"/>
      <c r="E49" s="9"/>
      <c r="F49" s="9">
        <f t="shared" si="6"/>
        <v>3311.89</v>
      </c>
      <c r="G49" s="9"/>
      <c r="H49" s="9">
        <f>'Pro Forma Adj'!B52</f>
        <v>0</v>
      </c>
      <c r="J49" s="9">
        <f t="shared" si="7"/>
        <v>3311.89</v>
      </c>
      <c r="L49" s="9"/>
      <c r="N49" s="9">
        <f t="shared" si="8"/>
        <v>3311.89</v>
      </c>
    </row>
    <row r="50" spans="1:14" x14ac:dyDescent="0.3">
      <c r="A50" s="11" t="s">
        <v>47</v>
      </c>
      <c r="B50" s="13">
        <v>0</v>
      </c>
      <c r="C50" s="9"/>
      <c r="D50" s="9"/>
      <c r="E50" s="9"/>
      <c r="F50" s="9">
        <f t="shared" si="6"/>
        <v>0</v>
      </c>
      <c r="G50" s="9"/>
      <c r="H50" s="9">
        <f>'Pro Forma Adj'!B53</f>
        <v>0</v>
      </c>
      <c r="J50" s="9">
        <f t="shared" si="7"/>
        <v>0</v>
      </c>
      <c r="L50" s="9"/>
      <c r="N50" s="9">
        <f t="shared" si="8"/>
        <v>0</v>
      </c>
    </row>
    <row r="51" spans="1:14" ht="12.9" thickBot="1" x14ac:dyDescent="0.35">
      <c r="A51" s="11" t="s">
        <v>48</v>
      </c>
      <c r="B51" s="10">
        <v>2434891399.6481252</v>
      </c>
      <c r="C51" s="9"/>
      <c r="D51" s="10">
        <f>SUM(D40:D50)</f>
        <v>0</v>
      </c>
      <c r="E51" s="9"/>
      <c r="F51" s="10">
        <f>SUM(F40:F50)</f>
        <v>2434891399.6481252</v>
      </c>
      <c r="G51" s="9"/>
      <c r="H51" s="10">
        <f>SUM(H40:H50)</f>
        <v>333659335.69558841</v>
      </c>
      <c r="J51" s="10">
        <f>SUM(J40:J50)</f>
        <v>2768550735.3437138</v>
      </c>
      <c r="L51" s="10">
        <f>SUM(L40:L50)</f>
        <v>0</v>
      </c>
      <c r="N51" s="10">
        <f>SUM(N40:N50)</f>
        <v>2768550735.3437138</v>
      </c>
    </row>
    <row r="52" spans="1:14" ht="12.9" thickTop="1" x14ac:dyDescent="0.3">
      <c r="A52" s="11"/>
      <c r="B52" s="9"/>
      <c r="C52" s="9"/>
      <c r="D52" s="9"/>
      <c r="E52" s="9"/>
      <c r="F52" s="9"/>
      <c r="G52" s="9"/>
      <c r="H52" s="9"/>
      <c r="J52" s="9"/>
      <c r="L52" s="9"/>
      <c r="N52" s="9"/>
    </row>
    <row r="53" spans="1:14" x14ac:dyDescent="0.3">
      <c r="A53" s="11" t="s">
        <v>49</v>
      </c>
      <c r="B53" s="9"/>
      <c r="C53" s="9"/>
      <c r="D53" s="9"/>
      <c r="E53" s="9"/>
      <c r="F53" s="9"/>
      <c r="G53" s="9"/>
      <c r="H53" s="9"/>
      <c r="J53" s="9"/>
      <c r="L53" s="9"/>
      <c r="N53" s="9"/>
    </row>
    <row r="54" spans="1:14" x14ac:dyDescent="0.3">
      <c r="A54" s="11" t="s">
        <v>50</v>
      </c>
      <c r="B54" s="13">
        <v>-1005478694.3497806</v>
      </c>
      <c r="C54" s="9"/>
      <c r="D54" s="9"/>
      <c r="E54" s="9"/>
      <c r="F54" s="9">
        <f t="shared" ref="F54:F61" si="9">SUM(B54:D54)</f>
        <v>-1005478694.3497806</v>
      </c>
      <c r="G54" s="9"/>
      <c r="H54" s="9">
        <f>'Pro Forma Adj'!B57</f>
        <v>-51251438.768470183</v>
      </c>
      <c r="J54" s="9">
        <f t="shared" ref="J54:J60" si="10">F54+H54</f>
        <v>-1056730133.1182507</v>
      </c>
      <c r="L54" s="9"/>
      <c r="N54" s="9">
        <f t="shared" ref="N54:N61" si="11">J54+L54</f>
        <v>-1056730133.1182507</v>
      </c>
    </row>
    <row r="55" spans="1:14" x14ac:dyDescent="0.3">
      <c r="A55" s="11" t="s">
        <v>51</v>
      </c>
      <c r="B55" s="13">
        <v>-64932897.347893581</v>
      </c>
      <c r="C55" s="9"/>
      <c r="D55" s="9"/>
      <c r="E55" s="9"/>
      <c r="F55" s="9">
        <f t="shared" si="9"/>
        <v>-64932897.347893581</v>
      </c>
      <c r="G55" s="9"/>
      <c r="H55" s="9">
        <f>'Pro Forma Adj'!B58</f>
        <v>-4541116.6972164949</v>
      </c>
      <c r="J55" s="9">
        <f t="shared" si="10"/>
        <v>-69474014.045110077</v>
      </c>
      <c r="L55" s="9"/>
      <c r="N55" s="9">
        <f t="shared" si="11"/>
        <v>-69474014.045110077</v>
      </c>
    </row>
    <row r="56" spans="1:14" x14ac:dyDescent="0.3">
      <c r="A56" s="11" t="s">
        <v>52</v>
      </c>
      <c r="B56" s="13">
        <v>-164918677.50932115</v>
      </c>
      <c r="C56" s="9"/>
      <c r="D56" s="9"/>
      <c r="E56" s="9"/>
      <c r="F56" s="9">
        <f t="shared" si="9"/>
        <v>-164918677.50932115</v>
      </c>
      <c r="G56" s="9"/>
      <c r="H56" s="9">
        <f>'Pro Forma Adj'!B59</f>
        <v>-19010143.2274631</v>
      </c>
      <c r="J56" s="9">
        <f t="shared" si="10"/>
        <v>-183928820.73678425</v>
      </c>
      <c r="L56" s="9"/>
      <c r="N56" s="9">
        <f t="shared" si="11"/>
        <v>-183928820.73678425</v>
      </c>
    </row>
    <row r="57" spans="1:14" x14ac:dyDescent="0.3">
      <c r="A57" s="11" t="s">
        <v>53</v>
      </c>
      <c r="B57" s="13">
        <v>-14943.338687945423</v>
      </c>
      <c r="C57" s="9"/>
      <c r="D57" s="9"/>
      <c r="E57" s="9"/>
      <c r="F57" s="9">
        <f t="shared" si="9"/>
        <v>-14943.338687945423</v>
      </c>
      <c r="G57" s="9"/>
      <c r="H57" s="9">
        <f>'Pro Forma Adj'!B60</f>
        <v>0</v>
      </c>
      <c r="J57" s="9">
        <f t="shared" si="10"/>
        <v>-14943.338687945423</v>
      </c>
      <c r="L57" s="9"/>
      <c r="N57" s="9">
        <f t="shared" si="11"/>
        <v>-14943.338687945423</v>
      </c>
    </row>
    <row r="58" spans="1:14" x14ac:dyDescent="0.3">
      <c r="A58" s="11" t="s">
        <v>54</v>
      </c>
      <c r="B58" s="13">
        <v>-7825156.6492933892</v>
      </c>
      <c r="C58" s="9"/>
      <c r="D58" s="9"/>
      <c r="E58" s="9"/>
      <c r="F58" s="9">
        <f t="shared" si="9"/>
        <v>-7825156.6492933892</v>
      </c>
      <c r="G58" s="9"/>
      <c r="H58" s="9">
        <f>'Pro Forma Adj'!B61</f>
        <v>0</v>
      </c>
      <c r="J58" s="9">
        <f t="shared" si="10"/>
        <v>-7825156.6492933892</v>
      </c>
      <c r="L58" s="9"/>
      <c r="N58" s="9">
        <f t="shared" si="11"/>
        <v>-7825156.6492933892</v>
      </c>
    </row>
    <row r="59" spans="1:14" x14ac:dyDescent="0.3">
      <c r="A59" s="11" t="s">
        <v>55</v>
      </c>
      <c r="B59" s="13">
        <v>-408390.63249999989</v>
      </c>
      <c r="C59" s="9"/>
      <c r="D59" s="9"/>
      <c r="E59" s="9"/>
      <c r="F59" s="9">
        <f t="shared" si="9"/>
        <v>-408390.63249999989</v>
      </c>
      <c r="G59" s="9"/>
      <c r="H59" s="9">
        <f>'Pro Forma Adj'!B62</f>
        <v>0</v>
      </c>
      <c r="J59" s="9">
        <f t="shared" si="10"/>
        <v>-408390.63249999989</v>
      </c>
      <c r="L59" s="9"/>
      <c r="N59" s="9">
        <f t="shared" si="11"/>
        <v>-408390.63249999989</v>
      </c>
    </row>
    <row r="60" spans="1:14" x14ac:dyDescent="0.3">
      <c r="A60" s="11" t="s">
        <v>56</v>
      </c>
      <c r="B60" s="13">
        <v>-95331195.227221251</v>
      </c>
      <c r="C60" s="9"/>
      <c r="D60" s="9"/>
      <c r="E60" s="9"/>
      <c r="F60" s="9">
        <f t="shared" si="9"/>
        <v>-95331195.227221251</v>
      </c>
      <c r="G60" s="9"/>
      <c r="H60" s="9">
        <f>'Pro Forma Adj'!B63</f>
        <v>-3335283.8417438725</v>
      </c>
      <c r="J60" s="9">
        <f t="shared" si="10"/>
        <v>-98666479.068965122</v>
      </c>
      <c r="L60" s="9"/>
      <c r="N60" s="9">
        <f t="shared" si="11"/>
        <v>-98666479.068965122</v>
      </c>
    </row>
    <row r="61" spans="1:14" x14ac:dyDescent="0.3">
      <c r="A61" s="11"/>
      <c r="B61" s="9"/>
      <c r="C61" s="9"/>
      <c r="D61" s="9"/>
      <c r="E61" s="9"/>
      <c r="F61" s="9">
        <f t="shared" si="9"/>
        <v>0</v>
      </c>
      <c r="G61" s="9"/>
      <c r="H61" s="9"/>
      <c r="J61" s="9"/>
      <c r="L61" s="9"/>
      <c r="N61" s="9">
        <f t="shared" si="11"/>
        <v>0</v>
      </c>
    </row>
    <row r="62" spans="1:14" ht="12.9" thickBot="1" x14ac:dyDescent="0.35">
      <c r="A62" s="11" t="s">
        <v>57</v>
      </c>
      <c r="B62" s="10">
        <v>-1338909955.0546978</v>
      </c>
      <c r="C62" s="9"/>
      <c r="D62" s="10">
        <f>SUM(D54:D60)</f>
        <v>0</v>
      </c>
      <c r="E62" s="9"/>
      <c r="F62" s="10">
        <f>SUM(F54:F60)</f>
        <v>-1338909955.0546978</v>
      </c>
      <c r="G62" s="9"/>
      <c r="H62" s="10">
        <f>SUM(H54:H60)</f>
        <v>-78137982.534893647</v>
      </c>
      <c r="J62" s="10">
        <f>SUM(J54:J60)</f>
        <v>-1417047937.5895915</v>
      </c>
      <c r="L62" s="10">
        <f>SUM(L54:L60)</f>
        <v>0</v>
      </c>
      <c r="N62" s="10">
        <f>SUM(N54:N60)</f>
        <v>-1417047937.5895915</v>
      </c>
    </row>
    <row r="63" spans="1:14" ht="12.9" thickTop="1" x14ac:dyDescent="0.3">
      <c r="A63" s="11"/>
      <c r="B63" s="9"/>
      <c r="C63" s="9"/>
      <c r="D63" s="9"/>
      <c r="E63" s="9"/>
      <c r="F63" s="9"/>
      <c r="G63" s="9"/>
      <c r="H63" s="9"/>
      <c r="J63" s="9"/>
      <c r="L63" s="9"/>
      <c r="N63" s="9"/>
    </row>
    <row r="64" spans="1:14" ht="12.9" thickBot="1" x14ac:dyDescent="0.35">
      <c r="A64" s="11" t="s">
        <v>58</v>
      </c>
      <c r="B64" s="10">
        <v>1095981444.5934274</v>
      </c>
      <c r="C64" s="9"/>
      <c r="D64" s="10">
        <f>D51+D62</f>
        <v>0</v>
      </c>
      <c r="E64" s="9"/>
      <c r="F64" s="10">
        <f>F51+F62</f>
        <v>1095981444.5934274</v>
      </c>
      <c r="G64" s="9"/>
      <c r="H64" s="10">
        <f>H51+H62</f>
        <v>255521353.16069478</v>
      </c>
      <c r="J64" s="10">
        <f>J51+J62</f>
        <v>1351502797.7541223</v>
      </c>
      <c r="L64" s="10">
        <f>L51+L62</f>
        <v>0</v>
      </c>
      <c r="N64" s="10">
        <f>N51+N62</f>
        <v>1351502797.7541223</v>
      </c>
    </row>
    <row r="65" spans="1:16" ht="12.9" thickTop="1" x14ac:dyDescent="0.3">
      <c r="A65" s="11"/>
      <c r="B65" s="193"/>
      <c r="C65" s="9"/>
      <c r="D65" s="193"/>
      <c r="E65" s="193"/>
      <c r="F65" s="193"/>
      <c r="G65" s="9"/>
      <c r="H65" s="9"/>
      <c r="J65" s="9"/>
      <c r="L65" s="9"/>
      <c r="N65" s="9"/>
    </row>
    <row r="66" spans="1:16" x14ac:dyDescent="0.3">
      <c r="A66" s="11" t="s">
        <v>7</v>
      </c>
      <c r="B66" s="22">
        <v>5.9458439673106288E-2</v>
      </c>
      <c r="C66" s="22" t="e">
        <f t="shared" ref="C66:N66" si="12">+C37/C64</f>
        <v>#DIV/0!</v>
      </c>
      <c r="D66" s="22">
        <f>+F66-B66</f>
        <v>1.1401712051680078E-2</v>
      </c>
      <c r="E66" s="22" t="e">
        <f t="shared" si="12"/>
        <v>#DIV/0!</v>
      </c>
      <c r="F66" s="22">
        <f t="shared" si="12"/>
        <v>7.0860151724786366E-2</v>
      </c>
      <c r="G66" s="22" t="e">
        <f t="shared" si="12"/>
        <v>#DIV/0!</v>
      </c>
      <c r="H66" s="22">
        <f t="shared" si="12"/>
        <v>-5.8258650122549249E-3</v>
      </c>
      <c r="I66" s="22" t="e">
        <f t="shared" si="12"/>
        <v>#DIV/0!</v>
      </c>
      <c r="J66" s="22">
        <f t="shared" si="12"/>
        <v>5.6361539662928561E-2</v>
      </c>
      <c r="K66" s="22" t="e">
        <f t="shared" si="12"/>
        <v>#DIV/0!</v>
      </c>
      <c r="L66" s="22">
        <f>+N66-J66</f>
        <v>1.4498603103511185E-2</v>
      </c>
      <c r="M66" s="22" t="e">
        <f t="shared" si="12"/>
        <v>#DIV/0!</v>
      </c>
      <c r="N66" s="22">
        <f t="shared" si="12"/>
        <v>7.0860142766439746E-2</v>
      </c>
    </row>
    <row r="67" spans="1:16" x14ac:dyDescent="0.3">
      <c r="A67" s="11" t="s">
        <v>59</v>
      </c>
      <c r="B67" s="22">
        <v>7.177857367231423E-2</v>
      </c>
      <c r="C67" s="22"/>
      <c r="D67" s="22">
        <f>+Unadj_ROE-B67</f>
        <v>2.3221426327685771E-2</v>
      </c>
      <c r="E67" s="22"/>
      <c r="F67" s="22">
        <f>ROUND((F66-'ROR &amp; Conversion Factor'!E9-Weighted_cost_debt-Weighted_cost_pref)/Percent_common,3)</f>
        <v>9.5000000000000001E-2</v>
      </c>
      <c r="G67" s="22"/>
      <c r="H67" s="22">
        <f>Restated_ROE-F67</f>
        <v>-2.8925092336194363E-2</v>
      </c>
      <c r="J67" s="22">
        <f>(J66-Weighted_cost_debt-Weighted_cost_pref)/Percent_common</f>
        <v>6.6074907663805638E-2</v>
      </c>
      <c r="L67" s="22">
        <f>N67-J67</f>
        <v>2.8925092336194363E-2</v>
      </c>
      <c r="N67" s="22">
        <f>ROUND((N66-'ROR &amp; Conversion Factor'!E9-Weighted_cost_debt-Weighted_cost_pref)/Percent_common,3)</f>
        <v>9.5000000000000001E-2</v>
      </c>
    </row>
    <row r="68" spans="1:16" x14ac:dyDescent="0.3">
      <c r="A68" s="11" t="s">
        <v>6</v>
      </c>
      <c r="B68" s="189">
        <v>16621098.021759475</v>
      </c>
      <c r="C68" s="9"/>
      <c r="D68" s="9"/>
      <c r="E68" s="9"/>
      <c r="F68" s="13">
        <f>IF(ABS(-(F37-(F64*Overall_ROR))/gross_up_factor)&lt;10,0,-(F37-(F64*Overall_ROR))/gross_up_factor)</f>
        <v>12.063367006825715</v>
      </c>
      <c r="G68" s="13">
        <f>IF(ABS(-(G37-(G64*Overall_ROR))/gross_up_factor)&lt;10,0,-(G37-(G64*Overall_ROR))/gross_up_factor)</f>
        <v>0</v>
      </c>
      <c r="H68" s="13">
        <f>IF(ABS(-(H37-(H64*Overall_ROR))/gross_up_factor)&lt;10,0,-(H37-(H64*Overall_ROR))/gross_up_factor)</f>
        <v>26063308.876654331</v>
      </c>
      <c r="J68" s="13">
        <f>-(J37-(J64*Overall_ROR))/gross_up_factor-F68</f>
        <v>26063308.876654346</v>
      </c>
      <c r="L68" s="9"/>
      <c r="N68" s="9"/>
      <c r="P68" s="189"/>
    </row>
    <row r="69" spans="1:16" x14ac:dyDescent="0.3">
      <c r="A69" s="11"/>
      <c r="B69" s="197"/>
      <c r="C69" s="197"/>
      <c r="D69" s="9"/>
      <c r="E69" s="9"/>
      <c r="F69" s="13"/>
      <c r="G69" s="16"/>
      <c r="H69" s="16"/>
      <c r="J69" s="16"/>
      <c r="L69" s="20"/>
      <c r="N69" s="20"/>
    </row>
    <row r="70" spans="1:16" x14ac:dyDescent="0.3">
      <c r="A70" s="11" t="s">
        <v>60</v>
      </c>
      <c r="B70" s="9"/>
      <c r="C70" s="9"/>
      <c r="D70" s="9"/>
      <c r="E70" s="9"/>
      <c r="F70" s="9"/>
      <c r="G70" s="9"/>
      <c r="H70" s="9"/>
      <c r="J70" s="9"/>
      <c r="L70" s="9"/>
      <c r="N70" s="9"/>
      <c r="P70" s="353"/>
    </row>
    <row r="71" spans="1:16" x14ac:dyDescent="0.3">
      <c r="A71" s="11" t="s">
        <v>61</v>
      </c>
      <c r="B71" s="9">
        <v>48437259</v>
      </c>
      <c r="C71" s="9"/>
      <c r="D71" s="9">
        <f>D9-D22-D29</f>
        <v>15817803.601567928</v>
      </c>
      <c r="E71" s="9"/>
      <c r="F71" s="9">
        <f t="shared" ref="F71" si="13">SUM(B71:D71)</f>
        <v>64255062.601567924</v>
      </c>
      <c r="G71" s="9"/>
      <c r="H71" s="9">
        <f t="shared" ref="H71:N71" si="14">H13-H26-H27-H28-H29-H34</f>
        <v>-2853123.1101710014</v>
      </c>
      <c r="J71" s="9">
        <f t="shared" si="14"/>
        <v>61401938.9216346</v>
      </c>
      <c r="L71" s="9">
        <f t="shared" si="14"/>
        <v>24803674.250534199</v>
      </c>
      <c r="N71" s="9">
        <f t="shared" si="14"/>
        <v>86205613.172168761</v>
      </c>
    </row>
    <row r="72" spans="1:16" x14ac:dyDescent="0.3">
      <c r="A72" s="11" t="s">
        <v>62</v>
      </c>
      <c r="B72" s="13"/>
      <c r="C72" s="9"/>
      <c r="D72" s="9"/>
      <c r="E72" s="9"/>
      <c r="F72" s="9"/>
      <c r="G72" s="9"/>
      <c r="H72" s="9"/>
      <c r="J72" s="9">
        <f>F72+H72</f>
        <v>0</v>
      </c>
      <c r="L72" s="9"/>
      <c r="N72" s="9"/>
    </row>
    <row r="73" spans="1:16" x14ac:dyDescent="0.3">
      <c r="A73" s="11" t="s">
        <v>63</v>
      </c>
      <c r="B73" s="13">
        <v>-3636274.7351071914</v>
      </c>
      <c r="C73" s="9"/>
      <c r="D73" s="9">
        <v>0</v>
      </c>
      <c r="E73" s="9"/>
      <c r="F73" s="9">
        <f t="shared" ref="F73:F76" si="15">SUM(B73:D73)</f>
        <v>-3636274.7351071914</v>
      </c>
      <c r="G73" s="9"/>
      <c r="H73" s="9">
        <f>'Pro Forma Adj'!B76</f>
        <v>0</v>
      </c>
      <c r="J73" s="9">
        <f>F73+H73</f>
        <v>-3636274.7351071914</v>
      </c>
      <c r="L73" s="9"/>
      <c r="N73" s="9">
        <f>J73+L73</f>
        <v>-3636274.7351071914</v>
      </c>
    </row>
    <row r="74" spans="1:16" x14ac:dyDescent="0.3">
      <c r="A74" s="11" t="s">
        <v>64</v>
      </c>
      <c r="B74" s="13">
        <v>26522750.959160943</v>
      </c>
      <c r="C74" s="9"/>
      <c r="D74" s="9">
        <v>0</v>
      </c>
      <c r="E74" s="9"/>
      <c r="F74" s="9">
        <f t="shared" si="15"/>
        <v>26522750.959160943</v>
      </c>
      <c r="G74" s="9"/>
      <c r="H74" s="9">
        <f>'Pro Forma Adj'!B77</f>
        <v>6194982.885017924</v>
      </c>
      <c r="J74" s="9">
        <f>F74+H74</f>
        <v>32717733.844178867</v>
      </c>
      <c r="L74" s="9"/>
      <c r="N74" s="9">
        <f>J74+L74</f>
        <v>32717733.844178867</v>
      </c>
    </row>
    <row r="75" spans="1:16" x14ac:dyDescent="0.3">
      <c r="A75" s="11" t="s">
        <v>65</v>
      </c>
      <c r="B75" s="13">
        <v>102379039.64612165</v>
      </c>
      <c r="C75" s="9"/>
      <c r="D75" s="9">
        <v>0</v>
      </c>
      <c r="E75" s="9"/>
      <c r="F75" s="9">
        <f t="shared" si="15"/>
        <v>102379039.64612165</v>
      </c>
      <c r="G75" s="9"/>
      <c r="H75" s="9">
        <f>'Pro Forma Adj'!B78</f>
        <v>10421703.942504384</v>
      </c>
      <c r="J75" s="9">
        <f>F75+H75</f>
        <v>112800743.58862603</v>
      </c>
      <c r="L75" s="9"/>
      <c r="N75" s="9">
        <f>J75+L75</f>
        <v>112800743.58862603</v>
      </c>
    </row>
    <row r="76" spans="1:16" x14ac:dyDescent="0.3">
      <c r="A76" s="11" t="s">
        <v>66</v>
      </c>
      <c r="B76" s="138">
        <v>113344066.91718929</v>
      </c>
      <c r="C76" s="9"/>
      <c r="D76" s="8">
        <v>0</v>
      </c>
      <c r="E76" s="9"/>
      <c r="F76" s="8">
        <f t="shared" si="15"/>
        <v>113344066.91718929</v>
      </c>
      <c r="G76" s="9"/>
      <c r="H76" s="8">
        <f>'Pro Forma Adj'!B79</f>
        <v>21588036.603057332</v>
      </c>
      <c r="J76" s="8">
        <f>F76+H76</f>
        <v>134932103.52024662</v>
      </c>
      <c r="L76" s="8"/>
      <c r="N76" s="8">
        <f>J76+L76</f>
        <v>134932103.52024662</v>
      </c>
    </row>
    <row r="77" spans="1:16" x14ac:dyDescent="0.3">
      <c r="A77" s="11" t="s">
        <v>67</v>
      </c>
      <c r="B77" s="9">
        <v>14585755.50487861</v>
      </c>
      <c r="C77" s="9"/>
      <c r="D77" s="9">
        <f>D71-D73-D74+D75-D76</f>
        <v>15817803.601567928</v>
      </c>
      <c r="E77" s="9"/>
      <c r="F77" s="9">
        <f>F71-F73-F74+F75-F76</f>
        <v>30403559.106446549</v>
      </c>
      <c r="G77" s="9"/>
      <c r="H77" s="9">
        <f t="shared" ref="H77:N77" si="16">H71-H73-H74+H75-H76</f>
        <v>-20214438.655741874</v>
      </c>
      <c r="J77" s="9">
        <f t="shared" si="16"/>
        <v>10189119.880942315</v>
      </c>
      <c r="L77" s="9">
        <f t="shared" si="16"/>
        <v>24803674.250534199</v>
      </c>
      <c r="N77" s="9">
        <f t="shared" si="16"/>
        <v>34992794.131476492</v>
      </c>
    </row>
    <row r="78" spans="1:16" x14ac:dyDescent="0.3">
      <c r="A78" s="11"/>
      <c r="B78" s="9"/>
      <c r="C78" s="9"/>
      <c r="D78" s="9"/>
      <c r="E78" s="9"/>
      <c r="F78" s="9"/>
      <c r="G78" s="9"/>
      <c r="H78" s="9"/>
      <c r="J78" s="9"/>
      <c r="L78" s="9"/>
      <c r="N78" s="9"/>
    </row>
    <row r="79" spans="1:16" x14ac:dyDescent="0.3">
      <c r="A79" s="11" t="s">
        <v>68</v>
      </c>
      <c r="B79" s="9">
        <v>0</v>
      </c>
      <c r="C79" s="9"/>
      <c r="D79" s="9">
        <v>0</v>
      </c>
      <c r="E79" s="9"/>
      <c r="F79" s="9">
        <f t="shared" ref="F79:F80" si="17">SUM(B79:D79)</f>
        <v>0</v>
      </c>
      <c r="G79" s="9"/>
      <c r="H79" s="9">
        <v>0</v>
      </c>
      <c r="J79" s="9">
        <v>0</v>
      </c>
      <c r="L79" s="9">
        <v>0</v>
      </c>
      <c r="N79" s="9">
        <v>0</v>
      </c>
    </row>
    <row r="80" spans="1:16" x14ac:dyDescent="0.3">
      <c r="A80" s="11" t="s">
        <v>69</v>
      </c>
      <c r="B80" s="9">
        <v>14585755.50487861</v>
      </c>
      <c r="C80" s="9"/>
      <c r="D80" s="9">
        <f>D77-D79</f>
        <v>15817803.601567928</v>
      </c>
      <c r="E80" s="9"/>
      <c r="F80" s="9">
        <f t="shared" si="17"/>
        <v>30403559.106446538</v>
      </c>
      <c r="G80" s="9"/>
      <c r="H80" s="9">
        <f>H77-H79</f>
        <v>-20214438.655741874</v>
      </c>
      <c r="J80" s="9">
        <f>J77-J79</f>
        <v>10189119.880942315</v>
      </c>
      <c r="L80" s="9">
        <f>L77-L79</f>
        <v>24803674.250534199</v>
      </c>
      <c r="N80" s="9">
        <f>N77-N79</f>
        <v>34992794.131476492</v>
      </c>
    </row>
    <row r="81" spans="1:14" x14ac:dyDescent="0.3">
      <c r="A81" s="11"/>
      <c r="B81" s="9"/>
      <c r="C81" s="9"/>
      <c r="D81" s="9"/>
      <c r="E81" s="9"/>
      <c r="F81" s="9"/>
      <c r="G81" s="9"/>
      <c r="H81" s="9"/>
      <c r="J81" s="9"/>
      <c r="L81" s="9"/>
      <c r="N81" s="9"/>
    </row>
    <row r="82" spans="1:14" x14ac:dyDescent="0.3">
      <c r="A82" s="11" t="s">
        <v>79</v>
      </c>
      <c r="B82" s="9">
        <v>3063008.6560245082</v>
      </c>
      <c r="C82" s="9"/>
      <c r="D82" s="9">
        <f>D80*0.21</f>
        <v>3321738.7563292645</v>
      </c>
      <c r="E82" s="9"/>
      <c r="F82" s="9">
        <f t="shared" ref="F82:F84" si="18">SUM(B82:D82)</f>
        <v>6384747.4123537727</v>
      </c>
      <c r="G82" s="9"/>
      <c r="H82" s="9">
        <f>H80*0.21</f>
        <v>-4245032.1177057931</v>
      </c>
      <c r="J82" s="9">
        <f>J80*0.21</f>
        <v>2139715.1749978862</v>
      </c>
      <c r="L82" s="9">
        <f>L80*0.21</f>
        <v>5208771.5926121818</v>
      </c>
      <c r="N82" s="9">
        <f>N80*0.21</f>
        <v>7348486.7676100628</v>
      </c>
    </row>
    <row r="83" spans="1:14" x14ac:dyDescent="0.3">
      <c r="A83" s="11" t="s">
        <v>126</v>
      </c>
      <c r="B83" s="13">
        <v>-17018573.173973054</v>
      </c>
      <c r="C83" s="9"/>
      <c r="D83" s="13">
        <v>0</v>
      </c>
      <c r="E83" s="9"/>
      <c r="F83" s="9">
        <f t="shared" si="18"/>
        <v>-17018573.173973054</v>
      </c>
      <c r="G83" s="9"/>
      <c r="H83" s="9">
        <f>'Pro Forma Adj'!B86</f>
        <v>0</v>
      </c>
      <c r="J83" s="9">
        <f>F83+H83</f>
        <v>-17018573.173973054</v>
      </c>
      <c r="L83" s="9"/>
      <c r="N83" s="9">
        <f>J83+L83</f>
        <v>-17018573.173973054</v>
      </c>
    </row>
    <row r="84" spans="1:14" x14ac:dyDescent="0.3">
      <c r="A84" s="11" t="s">
        <v>81</v>
      </c>
      <c r="B84" s="13">
        <v>-13955564.517948546</v>
      </c>
      <c r="C84" s="9"/>
      <c r="D84" s="13">
        <f>D82</f>
        <v>3321738.7563292645</v>
      </c>
      <c r="E84" s="9"/>
      <c r="F84" s="9">
        <f t="shared" si="18"/>
        <v>-10633825.761619281</v>
      </c>
      <c r="G84" s="9"/>
      <c r="H84" s="9">
        <f>H82+H83</f>
        <v>-4245032.1177057931</v>
      </c>
      <c r="J84" s="9">
        <f>F84+H84</f>
        <v>-14878857.879325073</v>
      </c>
      <c r="L84" s="9">
        <f>L82+L83</f>
        <v>5208771.5926121818</v>
      </c>
      <c r="N84" s="9">
        <f>N82+N83</f>
        <v>-9670086.4063629918</v>
      </c>
    </row>
    <row r="85" spans="1:14" x14ac:dyDescent="0.3">
      <c r="A85" s="11"/>
      <c r="B85" s="194"/>
      <c r="C85" s="9"/>
      <c r="D85" s="193"/>
      <c r="E85" s="193"/>
      <c r="F85" s="193"/>
      <c r="G85" s="9"/>
      <c r="H85" s="9"/>
      <c r="J85" s="9"/>
      <c r="L85" s="9"/>
      <c r="N85" s="9"/>
    </row>
    <row r="86" spans="1:14" x14ac:dyDescent="0.3">
      <c r="A86" s="11"/>
      <c r="B86" s="193"/>
      <c r="C86" s="9"/>
      <c r="D86" s="193"/>
      <c r="E86" s="193"/>
      <c r="F86" s="193"/>
      <c r="G86" s="9"/>
      <c r="H86" s="9"/>
      <c r="J86" s="9"/>
      <c r="L86" s="9"/>
      <c r="N86" s="9"/>
    </row>
    <row r="87" spans="1:14" x14ac:dyDescent="0.3">
      <c r="A87" s="11"/>
      <c r="B87" s="193"/>
      <c r="C87" s="9"/>
      <c r="D87" s="193"/>
      <c r="E87" s="193"/>
      <c r="F87" s="193"/>
      <c r="G87" s="9"/>
      <c r="H87" s="9"/>
      <c r="J87" s="9"/>
      <c r="L87" s="9"/>
      <c r="N87" s="9"/>
    </row>
    <row r="88" spans="1:14" x14ac:dyDescent="0.3">
      <c r="A88" s="11"/>
      <c r="B88" s="9"/>
      <c r="C88" s="9"/>
      <c r="D88" s="193"/>
      <c r="E88" s="193"/>
      <c r="F88" s="193"/>
      <c r="G88" s="9"/>
      <c r="H88" s="9"/>
      <c r="J88" s="9"/>
      <c r="L88" s="9"/>
      <c r="N88" s="9"/>
    </row>
    <row r="89" spans="1:14" x14ac:dyDescent="0.3">
      <c r="A89" s="11"/>
      <c r="B89" s="9"/>
      <c r="C89" s="9"/>
      <c r="D89" s="193"/>
      <c r="E89" s="193"/>
      <c r="F89" s="193"/>
      <c r="G89" s="9"/>
      <c r="H89" s="9"/>
      <c r="J89" s="9"/>
      <c r="L89" s="9"/>
      <c r="N89" s="9"/>
    </row>
    <row r="90" spans="1:14" x14ac:dyDescent="0.3">
      <c r="A90" s="21"/>
      <c r="B90" s="9"/>
      <c r="C90" s="9"/>
      <c r="D90" s="193"/>
      <c r="E90" s="193"/>
      <c r="F90" s="193"/>
      <c r="G90" s="9"/>
      <c r="H90" s="9"/>
      <c r="J90" s="22"/>
      <c r="L90" s="9"/>
      <c r="M90" s="9"/>
      <c r="N90" s="9"/>
    </row>
    <row r="91" spans="1:14" x14ac:dyDescent="0.3">
      <c r="B91" s="6"/>
      <c r="C91" s="6"/>
      <c r="D91" s="195"/>
      <c r="E91" s="195"/>
      <c r="F91" s="195"/>
      <c r="G91" s="6"/>
      <c r="H91" s="6"/>
      <c r="J91" s="6"/>
      <c r="L91" s="6"/>
      <c r="N91" s="6"/>
    </row>
    <row r="92" spans="1:14" x14ac:dyDescent="0.3">
      <c r="D92" s="196"/>
      <c r="E92" s="196"/>
      <c r="F92" s="196"/>
    </row>
    <row r="93" spans="1:14" x14ac:dyDescent="0.3">
      <c r="D93" s="196"/>
      <c r="E93" s="196"/>
      <c r="F93" s="196"/>
    </row>
    <row r="94" spans="1:14" x14ac:dyDescent="0.3">
      <c r="D94" s="196"/>
      <c r="E94" s="196"/>
      <c r="F94" s="196"/>
    </row>
    <row r="95" spans="1:14" x14ac:dyDescent="0.3">
      <c r="D95" s="196"/>
      <c r="E95" s="196"/>
      <c r="F95" s="196"/>
    </row>
    <row r="96" spans="1:14" x14ac:dyDescent="0.3">
      <c r="D96" s="196"/>
      <c r="E96" s="196"/>
      <c r="F96" s="196"/>
    </row>
    <row r="97" spans="4:6" x14ac:dyDescent="0.3">
      <c r="D97" s="196"/>
      <c r="E97" s="196"/>
      <c r="F97" s="196"/>
    </row>
    <row r="98" spans="4:6" x14ac:dyDescent="0.3">
      <c r="D98" s="196"/>
      <c r="E98" s="196"/>
      <c r="F98" s="196"/>
    </row>
    <row r="99" spans="4:6" x14ac:dyDescent="0.3">
      <c r="D99" s="196"/>
      <c r="E99" s="196"/>
      <c r="F99" s="196"/>
    </row>
    <row r="100" spans="4:6" x14ac:dyDescent="0.3">
      <c r="D100" s="196"/>
      <c r="E100" s="196"/>
      <c r="F100" s="196"/>
    </row>
    <row r="101" spans="4:6" x14ac:dyDescent="0.3">
      <c r="D101" s="196"/>
      <c r="E101" s="196"/>
      <c r="F101" s="196"/>
    </row>
    <row r="102" spans="4:6" x14ac:dyDescent="0.3">
      <c r="D102" s="196"/>
      <c r="E102" s="196"/>
      <c r="F102" s="196"/>
    </row>
  </sheetData>
  <phoneticPr fontId="3" type="noConversion"/>
  <pageMargins left="0.5" right="0.5" top="0.5" bottom="0.5" header="0.35" footer="0.5"/>
  <pageSetup scale="61" orientation="portrait" r:id="rId1"/>
  <headerFooter alignWithMargins="0">
    <oddHeader>&amp;RExh. JH-3
Dockets UE-230172
UE-210852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  <pageSetUpPr fitToPage="1"/>
  </sheetPr>
  <dimension ref="A1:X93"/>
  <sheetViews>
    <sheetView showOutlineSymbols="0" topLeftCell="A7" zoomScaleNormal="100" workbookViewId="0">
      <pane xSplit="2" ySplit="3" topLeftCell="C19" activePane="bottomRight" state="frozen"/>
      <selection activeCell="E13" sqref="E13"/>
      <selection pane="topRight" activeCell="E13" sqref="E13"/>
      <selection pane="bottomLeft" activeCell="E13" sqref="E13"/>
      <selection pane="bottomRight" activeCell="D19" sqref="D19:D28"/>
    </sheetView>
  </sheetViews>
  <sheetFormatPr defaultColWidth="9.15234375" defaultRowHeight="12.45" x14ac:dyDescent="0.3"/>
  <cols>
    <col min="1" max="1" width="37.53515625" style="2" customWidth="1"/>
    <col min="2" max="2" width="19" style="15" customWidth="1"/>
    <col min="3" max="3" width="17.23046875" style="15" bestFit="1" customWidth="1"/>
    <col min="4" max="5" width="16" style="2" customWidth="1"/>
    <col min="6" max="6" width="16.15234375" style="2" customWidth="1"/>
    <col min="7" max="7" width="17.23046875" style="2" bestFit="1" customWidth="1"/>
    <col min="8" max="8" width="16.15234375" style="2" customWidth="1"/>
    <col min="9" max="10" width="16" style="2" customWidth="1"/>
    <col min="11" max="12" width="17.23046875" style="2" bestFit="1" customWidth="1"/>
    <col min="13" max="13" width="15.69140625" style="2" customWidth="1"/>
    <col min="14" max="14" width="15" style="2" customWidth="1"/>
    <col min="15" max="15" width="17.23046875" style="2" customWidth="1"/>
    <col min="16" max="16" width="13.84375" style="244" customWidth="1"/>
    <col min="17" max="17" width="16" style="2" bestFit="1" customWidth="1"/>
    <col min="18" max="18" width="16.69140625" style="2" customWidth="1"/>
    <col min="19" max="20" width="16" style="2" bestFit="1" customWidth="1"/>
    <col min="21" max="21" width="15.69140625" style="2" customWidth="1"/>
    <col min="22" max="22" width="15.53515625" style="2" customWidth="1"/>
    <col min="23" max="23" width="15.84375" style="2" customWidth="1"/>
    <col min="24" max="24" width="15.15234375" style="2" customWidth="1"/>
    <col min="25" max="16384" width="9.15234375" style="15"/>
  </cols>
  <sheetData>
    <row r="1" spans="1:24" x14ac:dyDescent="0.3">
      <c r="A1" s="4" t="s">
        <v>5</v>
      </c>
    </row>
    <row r="2" spans="1:24" s="2" customFormat="1" x14ac:dyDescent="0.3">
      <c r="A2" s="109" t="str">
        <f>Summary!A2</f>
        <v>Washington 2023 General Rate Case</v>
      </c>
      <c r="P2" s="244"/>
    </row>
    <row r="3" spans="1:24" s="2" customFormat="1" x14ac:dyDescent="0.3">
      <c r="A3" s="110" t="s">
        <v>229</v>
      </c>
      <c r="P3" s="244"/>
    </row>
    <row r="4" spans="1:24" s="2" customFormat="1" x14ac:dyDescent="0.3">
      <c r="A4" s="111"/>
      <c r="P4" s="244"/>
    </row>
    <row r="5" spans="1:24" s="2" customFormat="1" x14ac:dyDescent="0.3">
      <c r="A5" s="201"/>
      <c r="P5" s="244"/>
    </row>
    <row r="6" spans="1:24" s="4" customFormat="1" ht="12.9" thickBot="1" x14ac:dyDescent="0.35">
      <c r="A6" s="111"/>
      <c r="E6" s="200"/>
      <c r="P6" s="245"/>
    </row>
    <row r="7" spans="1:24" s="112" customFormat="1" ht="12.9" thickBot="1" x14ac:dyDescent="0.35">
      <c r="A7" s="4"/>
      <c r="B7" s="182"/>
      <c r="C7" s="356" t="s">
        <v>129</v>
      </c>
      <c r="D7" s="357"/>
      <c r="E7" s="358"/>
      <c r="F7" s="356" t="s">
        <v>198</v>
      </c>
      <c r="G7" s="358"/>
      <c r="H7" s="356" t="s">
        <v>130</v>
      </c>
      <c r="I7" s="357"/>
      <c r="J7" s="357"/>
      <c r="K7" s="357"/>
      <c r="L7" s="357"/>
      <c r="M7" s="358"/>
      <c r="N7" s="356" t="s">
        <v>202</v>
      </c>
      <c r="O7" s="358"/>
      <c r="P7" s="356" t="s">
        <v>150</v>
      </c>
      <c r="Q7" s="357"/>
      <c r="R7" s="357"/>
      <c r="S7" s="357"/>
      <c r="T7" s="358"/>
      <c r="U7" s="226" t="s">
        <v>204</v>
      </c>
      <c r="V7" s="357" t="s">
        <v>203</v>
      </c>
      <c r="W7" s="358"/>
      <c r="X7" s="221"/>
    </row>
    <row r="8" spans="1:24" x14ac:dyDescent="0.3">
      <c r="B8" s="56"/>
      <c r="C8" s="56" t="s">
        <v>127</v>
      </c>
      <c r="D8" s="54" t="s">
        <v>128</v>
      </c>
      <c r="E8" s="54" t="s">
        <v>169</v>
      </c>
      <c r="F8" s="56" t="s">
        <v>131</v>
      </c>
      <c r="G8" s="223" t="s">
        <v>135</v>
      </c>
      <c r="H8" s="56" t="s">
        <v>136</v>
      </c>
      <c r="I8" s="54" t="s">
        <v>137</v>
      </c>
      <c r="J8" s="54" t="s">
        <v>138</v>
      </c>
      <c r="K8" s="54" t="s">
        <v>139</v>
      </c>
      <c r="L8" s="54" t="s">
        <v>140</v>
      </c>
      <c r="M8" s="55" t="s">
        <v>141</v>
      </c>
      <c r="N8" s="181" t="s">
        <v>142</v>
      </c>
      <c r="O8" s="54" t="s">
        <v>175</v>
      </c>
      <c r="P8" s="246" t="s">
        <v>143</v>
      </c>
      <c r="Q8" s="54" t="s">
        <v>145</v>
      </c>
      <c r="R8" s="54" t="s">
        <v>146</v>
      </c>
      <c r="S8" s="54" t="s">
        <v>147</v>
      </c>
      <c r="T8" s="55" t="s">
        <v>149</v>
      </c>
      <c r="U8" s="181" t="s">
        <v>156</v>
      </c>
      <c r="V8" s="181" t="s">
        <v>151</v>
      </c>
      <c r="W8" s="55" t="s">
        <v>154</v>
      </c>
      <c r="X8" s="54"/>
    </row>
    <row r="9" spans="1:24" s="113" customFormat="1" ht="75" customHeight="1" x14ac:dyDescent="0.3">
      <c r="A9" s="14"/>
      <c r="B9" s="183" t="s">
        <v>226</v>
      </c>
      <c r="C9" s="68" t="s">
        <v>161</v>
      </c>
      <c r="D9" s="70" t="s">
        <v>162</v>
      </c>
      <c r="E9" s="70" t="s">
        <v>165</v>
      </c>
      <c r="F9" s="68" t="s">
        <v>132</v>
      </c>
      <c r="G9" s="69" t="s">
        <v>134</v>
      </c>
      <c r="H9" s="68" t="s">
        <v>133</v>
      </c>
      <c r="I9" s="70" t="s">
        <v>207</v>
      </c>
      <c r="J9" s="70" t="s">
        <v>206</v>
      </c>
      <c r="K9" s="70" t="s">
        <v>205</v>
      </c>
      <c r="L9" s="70" t="s">
        <v>179</v>
      </c>
      <c r="M9" s="69" t="s">
        <v>180</v>
      </c>
      <c r="N9" s="68" t="s">
        <v>195</v>
      </c>
      <c r="O9" s="70" t="s">
        <v>176</v>
      </c>
      <c r="P9" s="247" t="s">
        <v>157</v>
      </c>
      <c r="Q9" s="70" t="s">
        <v>144</v>
      </c>
      <c r="R9" s="70" t="s">
        <v>177</v>
      </c>
      <c r="S9" s="70" t="s">
        <v>168</v>
      </c>
      <c r="T9" s="69" t="s">
        <v>148</v>
      </c>
      <c r="U9" s="68" t="s">
        <v>153</v>
      </c>
      <c r="V9" s="68" t="s">
        <v>152</v>
      </c>
      <c r="W9" s="69" t="s">
        <v>155</v>
      </c>
      <c r="X9" s="70"/>
    </row>
    <row r="10" spans="1:24" x14ac:dyDescent="0.3">
      <c r="B10" s="184"/>
      <c r="C10" s="30"/>
      <c r="F10" s="30"/>
      <c r="G10" s="62"/>
      <c r="H10" s="30"/>
      <c r="M10" s="62"/>
      <c r="N10" s="30"/>
      <c r="P10" s="248"/>
      <c r="T10" s="62"/>
      <c r="U10" s="30"/>
      <c r="V10" s="30"/>
      <c r="W10" s="62"/>
    </row>
    <row r="11" spans="1:24" x14ac:dyDescent="0.3">
      <c r="A11" s="14" t="s">
        <v>8</v>
      </c>
      <c r="B11" s="25"/>
      <c r="C11" s="25"/>
      <c r="D11" s="12"/>
      <c r="E11" s="12"/>
      <c r="F11" s="25"/>
      <c r="G11" s="57"/>
      <c r="H11" s="25"/>
      <c r="I11" s="12"/>
      <c r="J11" s="12"/>
      <c r="K11" s="12"/>
      <c r="L11" s="12"/>
      <c r="M11" s="57"/>
      <c r="N11" s="25"/>
      <c r="O11" s="12"/>
      <c r="P11" s="249"/>
      <c r="Q11" s="12"/>
      <c r="R11" s="12"/>
      <c r="S11" s="12"/>
      <c r="T11" s="57"/>
      <c r="U11" s="25"/>
      <c r="V11" s="25"/>
      <c r="W11" s="57"/>
      <c r="X11" s="12"/>
    </row>
    <row r="12" spans="1:24" x14ac:dyDescent="0.3">
      <c r="A12" s="14" t="s">
        <v>9</v>
      </c>
      <c r="B12" s="26">
        <f>SUM(C12:X12)</f>
        <v>0</v>
      </c>
      <c r="C12" s="27"/>
      <c r="D12" s="60"/>
      <c r="E12" s="60"/>
      <c r="F12" s="27"/>
      <c r="G12" s="61"/>
      <c r="H12" s="27"/>
      <c r="I12" s="60"/>
      <c r="J12" s="60"/>
      <c r="K12" s="60"/>
      <c r="L12" s="60"/>
      <c r="M12" s="61"/>
      <c r="N12" s="27"/>
      <c r="O12" s="60"/>
      <c r="P12" s="250"/>
      <c r="Q12" s="60"/>
      <c r="R12" s="60"/>
      <c r="S12" s="60"/>
      <c r="T12" s="61"/>
      <c r="U12" s="27"/>
      <c r="V12" s="27"/>
      <c r="W12" s="61"/>
      <c r="X12" s="60"/>
    </row>
    <row r="13" spans="1:24" x14ac:dyDescent="0.3">
      <c r="A13" s="14" t="s">
        <v>10</v>
      </c>
      <c r="B13" s="26">
        <f>SUM(C13:X13)</f>
        <v>0</v>
      </c>
      <c r="C13" s="27"/>
      <c r="D13" s="60"/>
      <c r="E13" s="60"/>
      <c r="F13" s="27"/>
      <c r="G13" s="61"/>
      <c r="H13" s="27"/>
      <c r="I13" s="60"/>
      <c r="J13" s="60"/>
      <c r="K13" s="60"/>
      <c r="L13" s="60"/>
      <c r="M13" s="61"/>
      <c r="N13" s="27"/>
      <c r="O13" s="60"/>
      <c r="P13" s="250"/>
      <c r="Q13" s="60"/>
      <c r="R13" s="60"/>
      <c r="S13" s="60"/>
      <c r="T13" s="61"/>
      <c r="U13" s="27"/>
      <c r="V13" s="27"/>
      <c r="W13" s="61"/>
      <c r="X13" s="60"/>
    </row>
    <row r="14" spans="1:24" x14ac:dyDescent="0.3">
      <c r="A14" s="14" t="s">
        <v>11</v>
      </c>
      <c r="B14" s="26">
        <f>SUM(C14:X14)</f>
        <v>0</v>
      </c>
      <c r="C14" s="27"/>
      <c r="D14" s="60"/>
      <c r="E14" s="60"/>
      <c r="F14" s="27"/>
      <c r="G14" s="61"/>
      <c r="H14" s="27"/>
      <c r="I14" s="60"/>
      <c r="J14" s="60"/>
      <c r="K14" s="60"/>
      <c r="L14" s="60"/>
      <c r="M14" s="61"/>
      <c r="N14" s="27"/>
      <c r="O14" s="60"/>
      <c r="P14" s="250"/>
      <c r="Q14" s="60"/>
      <c r="R14" s="60"/>
      <c r="S14" s="60"/>
      <c r="T14" s="61"/>
      <c r="U14" s="27"/>
      <c r="V14" s="27"/>
      <c r="W14" s="61"/>
      <c r="X14" s="60"/>
    </row>
    <row r="15" spans="1:24" x14ac:dyDescent="0.3">
      <c r="A15" s="14" t="s">
        <v>12</v>
      </c>
      <c r="B15" s="26">
        <f>SUM(C15:X15)</f>
        <v>2100780.9236015039</v>
      </c>
      <c r="C15" s="27">
        <v>2301415.0116205518</v>
      </c>
      <c r="D15" s="60"/>
      <c r="E15" s="60">
        <v>-200634.08801904801</v>
      </c>
      <c r="F15" s="27"/>
      <c r="G15" s="61"/>
      <c r="H15" s="27"/>
      <c r="I15" s="60"/>
      <c r="J15" s="60"/>
      <c r="K15" s="60"/>
      <c r="L15" s="60"/>
      <c r="M15" s="61"/>
      <c r="N15" s="27"/>
      <c r="O15" s="60"/>
      <c r="P15" s="250"/>
      <c r="Q15" s="60"/>
      <c r="R15" s="60"/>
      <c r="S15" s="60"/>
      <c r="T15" s="61"/>
      <c r="U15" s="27"/>
      <c r="V15" s="27"/>
      <c r="W15" s="61"/>
      <c r="X15" s="60"/>
    </row>
    <row r="16" spans="1:24" x14ac:dyDescent="0.3">
      <c r="A16" s="14" t="s">
        <v>13</v>
      </c>
      <c r="B16" s="203">
        <f>SUM(C16:X16)</f>
        <v>2100780.9236015039</v>
      </c>
      <c r="C16" s="203">
        <f t="shared" ref="C16:I16" si="0">SUM(C12:C15)</f>
        <v>2301415.0116205518</v>
      </c>
      <c r="D16" s="204">
        <f t="shared" si="0"/>
        <v>0</v>
      </c>
      <c r="E16" s="204">
        <f t="shared" si="0"/>
        <v>-200634.08801904801</v>
      </c>
      <c r="F16" s="203">
        <f t="shared" si="0"/>
        <v>0</v>
      </c>
      <c r="G16" s="205">
        <f t="shared" si="0"/>
        <v>0</v>
      </c>
      <c r="H16" s="203">
        <f t="shared" si="0"/>
        <v>0</v>
      </c>
      <c r="I16" s="204">
        <f t="shared" si="0"/>
        <v>0</v>
      </c>
      <c r="J16" s="204">
        <f t="shared" ref="J16:K16" si="1">SUM(J12:J15)</f>
        <v>0</v>
      </c>
      <c r="K16" s="204">
        <f t="shared" si="1"/>
        <v>0</v>
      </c>
      <c r="L16" s="204">
        <f>SUM(L12:L15)</f>
        <v>0</v>
      </c>
      <c r="M16" s="205">
        <f>SUM(M12:M15)</f>
        <v>0</v>
      </c>
      <c r="N16" s="203">
        <f t="shared" ref="N16:R16" si="2">SUM(N12:N15)</f>
        <v>0</v>
      </c>
      <c r="O16" s="204">
        <f t="shared" si="2"/>
        <v>0</v>
      </c>
      <c r="P16" s="251">
        <f t="shared" si="2"/>
        <v>0</v>
      </c>
      <c r="Q16" s="204">
        <f t="shared" si="2"/>
        <v>0</v>
      </c>
      <c r="R16" s="204">
        <f t="shared" si="2"/>
        <v>0</v>
      </c>
      <c r="S16" s="204">
        <f t="shared" ref="S16:W16" si="3">SUM(S12:S15)</f>
        <v>0</v>
      </c>
      <c r="T16" s="205">
        <f t="shared" si="3"/>
        <v>0</v>
      </c>
      <c r="U16" s="203">
        <f t="shared" si="3"/>
        <v>0</v>
      </c>
      <c r="V16" s="203">
        <f t="shared" si="3"/>
        <v>0</v>
      </c>
      <c r="W16" s="205">
        <f t="shared" si="3"/>
        <v>0</v>
      </c>
      <c r="X16" s="12"/>
    </row>
    <row r="17" spans="1:24" x14ac:dyDescent="0.3">
      <c r="A17" s="14"/>
      <c r="B17" s="25"/>
      <c r="C17" s="25"/>
      <c r="D17" s="12"/>
      <c r="E17" s="12"/>
      <c r="F17" s="25"/>
      <c r="G17" s="57"/>
      <c r="H17" s="25"/>
      <c r="I17" s="12"/>
      <c r="J17" s="12"/>
      <c r="K17" s="12"/>
      <c r="L17" s="12"/>
      <c r="M17" s="57"/>
      <c r="N17" s="25"/>
      <c r="O17" s="12"/>
      <c r="P17" s="249"/>
      <c r="Q17" s="12"/>
      <c r="R17" s="12"/>
      <c r="S17" s="12"/>
      <c r="T17" s="57"/>
      <c r="U17" s="25"/>
      <c r="V17" s="25"/>
      <c r="W17" s="57"/>
      <c r="X17" s="12"/>
    </row>
    <row r="18" spans="1:24" x14ac:dyDescent="0.3">
      <c r="A18" s="14" t="s">
        <v>14</v>
      </c>
      <c r="B18" s="25"/>
      <c r="C18" s="25"/>
      <c r="D18" s="12"/>
      <c r="E18" s="12"/>
      <c r="F18" s="25"/>
      <c r="G18" s="57"/>
      <c r="H18" s="25"/>
      <c r="I18" s="12"/>
      <c r="J18" s="12"/>
      <c r="K18" s="12"/>
      <c r="L18" s="12"/>
      <c r="M18" s="57"/>
      <c r="N18" s="25"/>
      <c r="O18" s="12"/>
      <c r="P18" s="249"/>
      <c r="Q18" s="12"/>
      <c r="R18" s="12"/>
      <c r="S18" s="12"/>
      <c r="T18" s="57"/>
      <c r="U18" s="25"/>
      <c r="V18" s="25"/>
      <c r="W18" s="57"/>
      <c r="X18" s="12"/>
    </row>
    <row r="19" spans="1:24" x14ac:dyDescent="0.3">
      <c r="A19" s="14" t="s">
        <v>15</v>
      </c>
      <c r="B19" s="26">
        <f t="shared" ref="B19:B40" si="4">SUM(C19:X19)</f>
        <v>120646.8440166338</v>
      </c>
      <c r="C19" s="27"/>
      <c r="D19" s="60">
        <v>120646.8440166338</v>
      </c>
      <c r="E19" s="60"/>
      <c r="F19" s="27"/>
      <c r="G19" s="61"/>
      <c r="H19" s="27"/>
      <c r="I19" s="60"/>
      <c r="J19" s="60"/>
      <c r="K19" s="60"/>
      <c r="L19" s="60"/>
      <c r="M19" s="61"/>
      <c r="N19" s="27"/>
      <c r="O19" s="60"/>
      <c r="P19" s="250"/>
      <c r="Q19" s="60"/>
      <c r="R19" s="60"/>
      <c r="S19" s="60"/>
      <c r="T19" s="61"/>
      <c r="U19" s="27"/>
      <c r="V19" s="27"/>
      <c r="W19" s="61"/>
      <c r="X19" s="60"/>
    </row>
    <row r="20" spans="1:24" x14ac:dyDescent="0.3">
      <c r="A20" s="14" t="s">
        <v>16</v>
      </c>
      <c r="B20" s="26">
        <f t="shared" si="4"/>
        <v>0</v>
      </c>
      <c r="C20" s="27"/>
      <c r="D20" s="60"/>
      <c r="E20" s="60"/>
      <c r="F20" s="27"/>
      <c r="G20" s="61"/>
      <c r="H20" s="27"/>
      <c r="I20" s="60"/>
      <c r="J20" s="60"/>
      <c r="K20" s="60"/>
      <c r="L20" s="60"/>
      <c r="M20" s="61"/>
      <c r="N20" s="27"/>
      <c r="O20" s="60"/>
      <c r="P20" s="250"/>
      <c r="Q20" s="60"/>
      <c r="R20" s="60"/>
      <c r="S20" s="60"/>
      <c r="T20" s="61"/>
      <c r="U20" s="27"/>
      <c r="V20" s="27"/>
      <c r="W20" s="61"/>
      <c r="X20" s="60"/>
    </row>
    <row r="21" spans="1:24" x14ac:dyDescent="0.3">
      <c r="A21" s="14" t="s">
        <v>17</v>
      </c>
      <c r="B21" s="26">
        <f t="shared" si="4"/>
        <v>42898.766456511425</v>
      </c>
      <c r="C21" s="27"/>
      <c r="D21" s="60">
        <v>42898.766456511425</v>
      </c>
      <c r="E21" s="60"/>
      <c r="F21" s="27"/>
      <c r="G21" s="61"/>
      <c r="H21" s="27"/>
      <c r="I21" s="60"/>
      <c r="J21" s="60"/>
      <c r="K21" s="60"/>
      <c r="L21" s="60"/>
      <c r="M21" s="61"/>
      <c r="N21" s="27"/>
      <c r="O21" s="60"/>
      <c r="P21" s="250"/>
      <c r="Q21" s="60"/>
      <c r="R21" s="60"/>
      <c r="S21" s="60"/>
      <c r="T21" s="61"/>
      <c r="U21" s="27"/>
      <c r="V21" s="27"/>
      <c r="W21" s="61"/>
      <c r="X21" s="60"/>
    </row>
    <row r="22" spans="1:24" x14ac:dyDescent="0.3">
      <c r="A22" s="14" t="s">
        <v>18</v>
      </c>
      <c r="B22" s="26">
        <f t="shared" si="4"/>
        <v>468523.5706248373</v>
      </c>
      <c r="C22" s="27"/>
      <c r="D22" s="60">
        <v>72943.843227417281</v>
      </c>
      <c r="E22" s="60"/>
      <c r="F22" s="27"/>
      <c r="G22" s="61"/>
      <c r="H22" s="27"/>
      <c r="I22" s="60"/>
      <c r="J22" s="60"/>
      <c r="K22" s="60"/>
      <c r="L22" s="60"/>
      <c r="M22" s="61"/>
      <c r="N22" s="27">
        <v>395579.72739742004</v>
      </c>
      <c r="O22" s="60"/>
      <c r="P22" s="250"/>
      <c r="Q22" s="60"/>
      <c r="R22" s="60"/>
      <c r="S22" s="60"/>
      <c r="T22" s="61"/>
      <c r="U22" s="27"/>
      <c r="V22" s="27"/>
      <c r="W22" s="61"/>
      <c r="X22" s="60"/>
    </row>
    <row r="23" spans="1:24" x14ac:dyDescent="0.3">
      <c r="A23" s="14" t="s">
        <v>19</v>
      </c>
      <c r="B23" s="26">
        <f t="shared" si="4"/>
        <v>41939.221287158143</v>
      </c>
      <c r="C23" s="27"/>
      <c r="D23" s="60">
        <v>41939.221287158143</v>
      </c>
      <c r="E23" s="60"/>
      <c r="F23" s="27"/>
      <c r="G23" s="61"/>
      <c r="H23" s="27"/>
      <c r="I23" s="60"/>
      <c r="J23" s="60"/>
      <c r="K23" s="60"/>
      <c r="L23" s="60"/>
      <c r="M23" s="61"/>
      <c r="N23" s="27"/>
      <c r="O23" s="60"/>
      <c r="P23" s="250"/>
      <c r="Q23" s="60"/>
      <c r="R23" s="60"/>
      <c r="S23" s="60"/>
      <c r="T23" s="61"/>
      <c r="U23" s="27"/>
      <c r="V23" s="27"/>
      <c r="W23" s="61"/>
      <c r="X23" s="60"/>
    </row>
    <row r="24" spans="1:24" x14ac:dyDescent="0.3">
      <c r="A24" s="14" t="s">
        <v>20</v>
      </c>
      <c r="B24" s="26">
        <f t="shared" si="4"/>
        <v>283467.2928264293</v>
      </c>
      <c r="C24" s="27"/>
      <c r="D24" s="60">
        <v>283467.2928264293</v>
      </c>
      <c r="E24" s="60"/>
      <c r="F24" s="27"/>
      <c r="G24" s="61"/>
      <c r="H24" s="27"/>
      <c r="I24" s="60"/>
      <c r="J24" s="60"/>
      <c r="K24" s="60"/>
      <c r="L24" s="60"/>
      <c r="M24" s="61"/>
      <c r="N24" s="27"/>
      <c r="O24" s="60"/>
      <c r="P24" s="250"/>
      <c r="Q24" s="60"/>
      <c r="R24" s="60"/>
      <c r="S24" s="60"/>
      <c r="T24" s="61"/>
      <c r="U24" s="27"/>
      <c r="V24" s="27"/>
      <c r="W24" s="61"/>
      <c r="X24" s="60"/>
    </row>
    <row r="25" spans="1:24" x14ac:dyDescent="0.3">
      <c r="A25" s="14" t="s">
        <v>21</v>
      </c>
      <c r="B25" s="26">
        <f t="shared" si="4"/>
        <v>64890.714644478132</v>
      </c>
      <c r="C25" s="27"/>
      <c r="D25" s="60">
        <v>64890.714644478132</v>
      </c>
      <c r="E25" s="60"/>
      <c r="F25" s="27"/>
      <c r="G25" s="61"/>
      <c r="H25" s="27"/>
      <c r="I25" s="60"/>
      <c r="J25" s="60"/>
      <c r="K25" s="60"/>
      <c r="L25" s="60"/>
      <c r="M25" s="61"/>
      <c r="N25" s="27"/>
      <c r="O25" s="60"/>
      <c r="P25" s="250"/>
      <c r="Q25" s="60"/>
      <c r="R25" s="60"/>
      <c r="S25" s="60"/>
      <c r="T25" s="61"/>
      <c r="U25" s="27"/>
      <c r="V25" s="27"/>
      <c r="W25" s="61"/>
      <c r="X25" s="60"/>
    </row>
    <row r="26" spans="1:24" x14ac:dyDescent="0.3">
      <c r="A26" s="14" t="s">
        <v>22</v>
      </c>
      <c r="B26" s="26">
        <f t="shared" si="4"/>
        <v>26362.070195963275</v>
      </c>
      <c r="C26" s="27"/>
      <c r="D26" s="60">
        <v>26362.070195963275</v>
      </c>
      <c r="E26" s="60"/>
      <c r="F26" s="27"/>
      <c r="G26" s="61"/>
      <c r="H26" s="27"/>
      <c r="I26" s="60"/>
      <c r="J26" s="60"/>
      <c r="K26" s="60"/>
      <c r="L26" s="60"/>
      <c r="M26" s="61"/>
      <c r="N26" s="27"/>
      <c r="O26" s="60"/>
      <c r="P26" s="250"/>
      <c r="Q26" s="60"/>
      <c r="R26" s="60"/>
      <c r="S26" s="60"/>
      <c r="T26" s="61"/>
      <c r="U26" s="27"/>
      <c r="V26" s="27"/>
      <c r="W26" s="61"/>
      <c r="X26" s="60"/>
    </row>
    <row r="27" spans="1:24" x14ac:dyDescent="0.3">
      <c r="A27" s="14" t="s">
        <v>23</v>
      </c>
      <c r="B27" s="26">
        <f t="shared" si="4"/>
        <v>0</v>
      </c>
      <c r="C27" s="27"/>
      <c r="D27" s="60"/>
      <c r="E27" s="60"/>
      <c r="F27" s="27"/>
      <c r="G27" s="61"/>
      <c r="H27" s="27"/>
      <c r="I27" s="60"/>
      <c r="J27" s="60"/>
      <c r="K27" s="60"/>
      <c r="L27" s="60"/>
      <c r="M27" s="61"/>
      <c r="N27" s="27"/>
      <c r="O27" s="60"/>
      <c r="P27" s="250"/>
      <c r="Q27" s="60"/>
      <c r="R27" s="60"/>
      <c r="S27" s="60"/>
      <c r="T27" s="61"/>
      <c r="U27" s="27"/>
      <c r="V27" s="27"/>
      <c r="W27" s="61"/>
      <c r="X27" s="60"/>
    </row>
    <row r="28" spans="1:24" x14ac:dyDescent="0.3">
      <c r="A28" s="14" t="s">
        <v>24</v>
      </c>
      <c r="B28" s="26">
        <f t="shared" si="4"/>
        <v>56172.286642597501</v>
      </c>
      <c r="C28" s="28"/>
      <c r="D28" s="63">
        <v>56172.286642597501</v>
      </c>
      <c r="E28" s="63"/>
      <c r="F28" s="28"/>
      <c r="G28" s="65"/>
      <c r="H28" s="28"/>
      <c r="I28" s="63"/>
      <c r="J28" s="63"/>
      <c r="K28" s="63"/>
      <c r="L28" s="63"/>
      <c r="M28" s="65"/>
      <c r="N28" s="28"/>
      <c r="O28" s="63"/>
      <c r="P28" s="252"/>
      <c r="Q28" s="63"/>
      <c r="R28" s="63"/>
      <c r="S28" s="63"/>
      <c r="T28" s="65"/>
      <c r="U28" s="28"/>
      <c r="V28" s="28"/>
      <c r="W28" s="65"/>
      <c r="X28" s="60"/>
    </row>
    <row r="29" spans="1:24" x14ac:dyDescent="0.3">
      <c r="A29" s="14" t="s">
        <v>25</v>
      </c>
      <c r="B29" s="206">
        <f t="shared" si="4"/>
        <v>1104900.7666946088</v>
      </c>
      <c r="C29" s="25">
        <f t="shared" ref="C29:I29" si="5">SUM(C19:C28)</f>
        <v>0</v>
      </c>
      <c r="D29" s="12">
        <f t="shared" si="5"/>
        <v>709321.03929718887</v>
      </c>
      <c r="E29" s="12">
        <f t="shared" si="5"/>
        <v>0</v>
      </c>
      <c r="F29" s="25">
        <f t="shared" si="5"/>
        <v>0</v>
      </c>
      <c r="G29" s="57">
        <f t="shared" si="5"/>
        <v>0</v>
      </c>
      <c r="H29" s="25">
        <f t="shared" si="5"/>
        <v>0</v>
      </c>
      <c r="I29" s="12">
        <f t="shared" si="5"/>
        <v>0</v>
      </c>
      <c r="J29" s="12">
        <f t="shared" ref="J29:K29" si="6">SUM(J19:J28)</f>
        <v>0</v>
      </c>
      <c r="K29" s="12">
        <f t="shared" si="6"/>
        <v>0</v>
      </c>
      <c r="L29" s="12">
        <f>SUM(L19:L28)</f>
        <v>0</v>
      </c>
      <c r="M29" s="57">
        <f>SUM(M19:M28)</f>
        <v>0</v>
      </c>
      <c r="N29" s="25">
        <f t="shared" ref="N29:R29" si="7">SUM(N19:N28)</f>
        <v>395579.72739742004</v>
      </c>
      <c r="O29" s="12">
        <f t="shared" si="7"/>
        <v>0</v>
      </c>
      <c r="P29" s="249">
        <f t="shared" si="7"/>
        <v>0</v>
      </c>
      <c r="Q29" s="12">
        <f t="shared" si="7"/>
        <v>0</v>
      </c>
      <c r="R29" s="12">
        <f t="shared" si="7"/>
        <v>0</v>
      </c>
      <c r="S29" s="12">
        <f t="shared" ref="S29:U29" si="8">SUM(S19:S28)</f>
        <v>0</v>
      </c>
      <c r="T29" s="57">
        <f t="shared" si="8"/>
        <v>0</v>
      </c>
      <c r="U29" s="25">
        <f t="shared" si="8"/>
        <v>0</v>
      </c>
      <c r="V29" s="25">
        <f t="shared" ref="V29:W29" si="9">SUM(V19:V28)</f>
        <v>0</v>
      </c>
      <c r="W29" s="57">
        <f t="shared" si="9"/>
        <v>0</v>
      </c>
      <c r="X29" s="12"/>
    </row>
    <row r="30" spans="1:24" x14ac:dyDescent="0.3">
      <c r="A30" s="14" t="s">
        <v>26</v>
      </c>
      <c r="B30" s="26">
        <f t="shared" si="4"/>
        <v>7746703.228831457</v>
      </c>
      <c r="C30" s="27"/>
      <c r="D30" s="60"/>
      <c r="E30" s="60"/>
      <c r="F30" s="27"/>
      <c r="G30" s="61">
        <v>2553798.7811355367</v>
      </c>
      <c r="H30" s="27"/>
      <c r="I30" s="60"/>
      <c r="J30" s="60"/>
      <c r="K30" s="60"/>
      <c r="L30" s="60">
        <v>1353</v>
      </c>
      <c r="M30" s="61">
        <v>6743.4738632640911</v>
      </c>
      <c r="N30" s="27">
        <v>2384687.5259876549</v>
      </c>
      <c r="O30" s="60">
        <v>2800120.4478450012</v>
      </c>
      <c r="P30" s="250"/>
      <c r="Q30" s="60"/>
      <c r="R30" s="60"/>
      <c r="S30" s="60"/>
      <c r="T30" s="61"/>
      <c r="U30" s="27"/>
      <c r="V30" s="27"/>
      <c r="W30" s="61"/>
      <c r="X30" s="60"/>
    </row>
    <row r="31" spans="1:24" x14ac:dyDescent="0.3">
      <c r="A31" s="14" t="s">
        <v>27</v>
      </c>
      <c r="B31" s="26">
        <f t="shared" si="4"/>
        <v>-5780426.9617535602</v>
      </c>
      <c r="C31" s="27"/>
      <c r="D31" s="60"/>
      <c r="E31" s="60"/>
      <c r="F31" s="27"/>
      <c r="G31" s="61">
        <v>1230830.8889248422</v>
      </c>
      <c r="H31" s="27"/>
      <c r="I31" s="60"/>
      <c r="J31" s="60"/>
      <c r="K31" s="60"/>
      <c r="L31" s="60"/>
      <c r="M31" s="61"/>
      <c r="N31" s="27"/>
      <c r="O31" s="60"/>
      <c r="P31" s="250"/>
      <c r="Q31" s="60"/>
      <c r="R31" s="60"/>
      <c r="S31" s="60"/>
      <c r="T31" s="61"/>
      <c r="U31" s="27"/>
      <c r="V31" s="27">
        <v>-7011257.8506784029</v>
      </c>
      <c r="W31" s="61"/>
      <c r="X31" s="60"/>
    </row>
    <row r="32" spans="1:24" x14ac:dyDescent="0.3">
      <c r="A32" s="14" t="s">
        <v>28</v>
      </c>
      <c r="B32" s="26">
        <f t="shared" si="4"/>
        <v>1882727</v>
      </c>
      <c r="C32" s="27"/>
      <c r="D32" s="60"/>
      <c r="E32" s="60"/>
      <c r="F32" s="27"/>
      <c r="G32" s="61"/>
      <c r="H32" s="27"/>
      <c r="I32" s="60"/>
      <c r="J32" s="60"/>
      <c r="K32" s="60"/>
      <c r="L32" s="60"/>
      <c r="M32" s="61"/>
      <c r="N32" s="27"/>
      <c r="O32" s="60"/>
      <c r="P32" s="250"/>
      <c r="Q32" s="60">
        <v>1882727</v>
      </c>
      <c r="R32" s="60"/>
      <c r="S32" s="60"/>
      <c r="T32" s="61"/>
      <c r="U32" s="27"/>
      <c r="V32" s="27"/>
      <c r="W32" s="61"/>
      <c r="X32" s="60"/>
    </row>
    <row r="33" spans="1:24" x14ac:dyDescent="0.3">
      <c r="A33" s="14" t="s">
        <v>29</v>
      </c>
      <c r="B33" s="26">
        <f t="shared" si="4"/>
        <v>-4245032.1177057922</v>
      </c>
      <c r="C33" s="27">
        <f>C87</f>
        <v>483297.15244031587</v>
      </c>
      <c r="D33" s="60">
        <f t="shared" ref="D33:S33" si="10">D87</f>
        <v>-148957.41825240967</v>
      </c>
      <c r="E33" s="60">
        <f t="shared" ref="E33" si="11">E87</f>
        <v>-42133.15848400008</v>
      </c>
      <c r="F33" s="27">
        <f t="shared" si="10"/>
        <v>-724257.10919062386</v>
      </c>
      <c r="G33" s="61">
        <f t="shared" si="10"/>
        <v>-794772.23071267956</v>
      </c>
      <c r="H33" s="27">
        <f t="shared" si="10"/>
        <v>0</v>
      </c>
      <c r="I33" s="60">
        <f t="shared" si="10"/>
        <v>0</v>
      </c>
      <c r="J33" s="60">
        <f t="shared" ref="J33:K33" si="12">J87</f>
        <v>0</v>
      </c>
      <c r="K33" s="60">
        <f t="shared" si="12"/>
        <v>0</v>
      </c>
      <c r="L33" s="60">
        <f t="shared" si="10"/>
        <v>-291.47999999999996</v>
      </c>
      <c r="M33" s="61">
        <f t="shared" si="10"/>
        <v>-16695.520762050048</v>
      </c>
      <c r="N33" s="27">
        <f t="shared" si="10"/>
        <v>-583856.12321086565</v>
      </c>
      <c r="O33" s="60">
        <f t="shared" ref="O33" si="13">O87</f>
        <v>-588025.29404745018</v>
      </c>
      <c r="P33" s="250">
        <f t="shared" si="10"/>
        <v>-1300946.4058537639</v>
      </c>
      <c r="Q33" s="60">
        <f t="shared" si="10"/>
        <v>-395372.67</v>
      </c>
      <c r="R33" s="60">
        <f t="shared" si="10"/>
        <v>0</v>
      </c>
      <c r="S33" s="60">
        <f t="shared" si="10"/>
        <v>-1431906.5139747304</v>
      </c>
      <c r="T33" s="61">
        <f t="shared" ref="T33" si="14">T87</f>
        <v>0</v>
      </c>
      <c r="U33" s="27">
        <f t="shared" ref="U33:V33" si="15">U87</f>
        <v>0</v>
      </c>
      <c r="V33" s="27">
        <f t="shared" si="15"/>
        <v>1298884.6543424646</v>
      </c>
      <c r="W33" s="61">
        <f t="shared" ref="W33" si="16">W87</f>
        <v>0</v>
      </c>
      <c r="X33" s="60"/>
    </row>
    <row r="34" spans="1:24" x14ac:dyDescent="0.3">
      <c r="A34" s="14" t="s">
        <v>30</v>
      </c>
      <c r="B34" s="26">
        <f t="shared" si="4"/>
        <v>0</v>
      </c>
      <c r="C34" s="26">
        <v>0</v>
      </c>
      <c r="D34" s="58">
        <v>0</v>
      </c>
      <c r="E34" s="58">
        <v>0</v>
      </c>
      <c r="F34" s="26">
        <v>0</v>
      </c>
      <c r="G34" s="59">
        <v>0</v>
      </c>
      <c r="H34" s="26">
        <v>0</v>
      </c>
      <c r="I34" s="58">
        <v>0</v>
      </c>
      <c r="J34" s="58">
        <v>0</v>
      </c>
      <c r="K34" s="58">
        <v>0</v>
      </c>
      <c r="L34" s="58">
        <v>0</v>
      </c>
      <c r="M34" s="59">
        <v>0</v>
      </c>
      <c r="N34" s="26">
        <v>0</v>
      </c>
      <c r="O34" s="58">
        <v>0</v>
      </c>
      <c r="P34" s="253">
        <v>0</v>
      </c>
      <c r="Q34" s="58">
        <v>0</v>
      </c>
      <c r="R34" s="58">
        <v>0</v>
      </c>
      <c r="S34" s="58">
        <v>0</v>
      </c>
      <c r="T34" s="59">
        <f>SUM('[3]15.5'!$I$19:$I$20)</f>
        <v>0</v>
      </c>
      <c r="U34" s="26">
        <v>0</v>
      </c>
      <c r="V34" s="26">
        <v>0</v>
      </c>
      <c r="W34" s="59">
        <v>0</v>
      </c>
      <c r="X34" s="58"/>
    </row>
    <row r="35" spans="1:24" x14ac:dyDescent="0.3">
      <c r="A35" s="14" t="s">
        <v>31</v>
      </c>
      <c r="B35" s="26">
        <f t="shared" si="4"/>
        <v>2880541.9187977174</v>
      </c>
      <c r="C35" s="27"/>
      <c r="D35" s="60"/>
      <c r="E35" s="60"/>
      <c r="F35" s="27">
        <v>847953.51731343858</v>
      </c>
      <c r="G35" s="61"/>
      <c r="H35" s="27"/>
      <c r="I35" s="60"/>
      <c r="J35" s="60"/>
      <c r="K35" s="60"/>
      <c r="L35" s="60">
        <v>9</v>
      </c>
      <c r="M35" s="61">
        <v>17889</v>
      </c>
      <c r="N35" s="27"/>
      <c r="O35" s="60"/>
      <c r="P35" s="250"/>
      <c r="Q35" s="60"/>
      <c r="R35" s="60"/>
      <c r="S35" s="60">
        <v>2329246.261743499</v>
      </c>
      <c r="T35" s="61"/>
      <c r="U35" s="27">
        <v>-517664</v>
      </c>
      <c r="V35" s="27">
        <v>203108.13974078008</v>
      </c>
      <c r="W35" s="61"/>
      <c r="X35" s="60"/>
    </row>
    <row r="36" spans="1:24" x14ac:dyDescent="0.3">
      <c r="A36" s="14" t="s">
        <v>32</v>
      </c>
      <c r="B36" s="26">
        <f t="shared" si="4"/>
        <v>0</v>
      </c>
      <c r="C36" s="27"/>
      <c r="D36" s="60"/>
      <c r="E36" s="60"/>
      <c r="F36" s="27"/>
      <c r="G36" s="61"/>
      <c r="H36" s="27"/>
      <c r="I36" s="60"/>
      <c r="J36" s="60"/>
      <c r="K36" s="60"/>
      <c r="L36" s="60"/>
      <c r="M36" s="61"/>
      <c r="N36" s="27"/>
      <c r="O36" s="60"/>
      <c r="P36" s="250"/>
      <c r="Q36" s="60"/>
      <c r="R36" s="60"/>
      <c r="S36" s="60"/>
      <c r="T36" s="61"/>
      <c r="U36" s="27"/>
      <c r="V36" s="27"/>
      <c r="W36" s="61"/>
      <c r="X36" s="60"/>
    </row>
    <row r="37" spans="1:24" x14ac:dyDescent="0.3">
      <c r="A37" s="14" t="s">
        <v>33</v>
      </c>
      <c r="B37" s="26">
        <f t="shared" si="4"/>
        <v>0</v>
      </c>
      <c r="C37" s="27"/>
      <c r="D37" s="60"/>
      <c r="E37" s="60"/>
      <c r="F37" s="27"/>
      <c r="G37" s="61"/>
      <c r="H37" s="27"/>
      <c r="I37" s="60"/>
      <c r="J37" s="60"/>
      <c r="K37" s="60"/>
      <c r="L37" s="60"/>
      <c r="M37" s="61"/>
      <c r="N37" s="27"/>
      <c r="O37" s="60"/>
      <c r="P37" s="250"/>
      <c r="Q37" s="60"/>
      <c r="R37" s="60"/>
      <c r="S37" s="60"/>
      <c r="T37" s="61"/>
      <c r="U37" s="27"/>
      <c r="V37" s="27"/>
      <c r="W37" s="61"/>
      <c r="X37" s="60"/>
    </row>
    <row r="38" spans="1:24" x14ac:dyDescent="0.3">
      <c r="A38" s="14" t="s">
        <v>34</v>
      </c>
      <c r="B38" s="203">
        <f t="shared" si="4"/>
        <v>3589413.8348644283</v>
      </c>
      <c r="C38" s="203">
        <f>SUM(C29:C37)</f>
        <v>483297.15244031587</v>
      </c>
      <c r="D38" s="204">
        <f t="shared" ref="D38:M38" si="17">SUM(D29:D37)</f>
        <v>560363.6210447792</v>
      </c>
      <c r="E38" s="204">
        <f t="shared" si="17"/>
        <v>-42133.15848400008</v>
      </c>
      <c r="F38" s="203">
        <f t="shared" si="17"/>
        <v>123696.40812281473</v>
      </c>
      <c r="G38" s="205">
        <f t="shared" si="17"/>
        <v>2989857.4393476993</v>
      </c>
      <c r="H38" s="203">
        <f t="shared" si="17"/>
        <v>0</v>
      </c>
      <c r="I38" s="204">
        <f t="shared" si="17"/>
        <v>0</v>
      </c>
      <c r="J38" s="204">
        <f t="shared" ref="J38:K38" si="18">SUM(J29:J37)</f>
        <v>0</v>
      </c>
      <c r="K38" s="204">
        <f t="shared" si="18"/>
        <v>0</v>
      </c>
      <c r="L38" s="204">
        <f t="shared" si="17"/>
        <v>1070.52</v>
      </c>
      <c r="M38" s="205">
        <f t="shared" si="17"/>
        <v>7936.9531012140433</v>
      </c>
      <c r="N38" s="203">
        <f t="shared" ref="N38:R38" si="19">SUM(N29:N37)</f>
        <v>2196411.1301742094</v>
      </c>
      <c r="O38" s="204">
        <f t="shared" ref="O38" si="20">SUM(O29:O37)</f>
        <v>2212095.1537975511</v>
      </c>
      <c r="P38" s="251">
        <f t="shared" si="19"/>
        <v>-1300946.4058537639</v>
      </c>
      <c r="Q38" s="204">
        <f t="shared" si="19"/>
        <v>1487354.33</v>
      </c>
      <c r="R38" s="204">
        <f t="shared" si="19"/>
        <v>0</v>
      </c>
      <c r="S38" s="204">
        <f t="shared" ref="S38:U38" si="21">SUM(S29:S37)</f>
        <v>897339.74776876858</v>
      </c>
      <c r="T38" s="205">
        <f t="shared" si="21"/>
        <v>0</v>
      </c>
      <c r="U38" s="203">
        <f t="shared" si="21"/>
        <v>-517664</v>
      </c>
      <c r="V38" s="203">
        <f t="shared" ref="V38:W38" si="22">SUM(V29:V37)</f>
        <v>-5509265.0565951578</v>
      </c>
      <c r="W38" s="205">
        <f t="shared" si="22"/>
        <v>0</v>
      </c>
      <c r="X38" s="12"/>
    </row>
    <row r="39" spans="1:24" x14ac:dyDescent="0.3">
      <c r="A39" s="14"/>
      <c r="B39" s="25">
        <f t="shared" si="4"/>
        <v>0</v>
      </c>
      <c r="C39" s="25"/>
      <c r="D39" s="12"/>
      <c r="E39" s="12"/>
      <c r="F39" s="25"/>
      <c r="G39" s="57"/>
      <c r="H39" s="25"/>
      <c r="I39" s="12"/>
      <c r="J39" s="12"/>
      <c r="K39" s="12"/>
      <c r="L39" s="12"/>
      <c r="M39" s="57"/>
      <c r="N39" s="25"/>
      <c r="O39" s="12"/>
      <c r="P39" s="249"/>
      <c r="Q39" s="12"/>
      <c r="R39" s="12"/>
      <c r="S39" s="12"/>
      <c r="T39" s="57"/>
      <c r="U39" s="25"/>
      <c r="V39" s="25"/>
      <c r="W39" s="57"/>
      <c r="X39" s="12"/>
    </row>
    <row r="40" spans="1:24" ht="12.9" thickBot="1" x14ac:dyDescent="0.35">
      <c r="A40" s="14" t="s">
        <v>35</v>
      </c>
      <c r="B40" s="207">
        <f t="shared" si="4"/>
        <v>-1488632.9112629257</v>
      </c>
      <c r="C40" s="207">
        <f t="shared" ref="C40:M40" si="23">C16-C38</f>
        <v>1818117.859180236</v>
      </c>
      <c r="D40" s="208">
        <f t="shared" si="23"/>
        <v>-560363.6210447792</v>
      </c>
      <c r="E40" s="208">
        <f t="shared" si="23"/>
        <v>-158500.92953504794</v>
      </c>
      <c r="F40" s="207">
        <f t="shared" si="23"/>
        <v>-123696.40812281473</v>
      </c>
      <c r="G40" s="209">
        <f t="shared" si="23"/>
        <v>-2989857.4393476993</v>
      </c>
      <c r="H40" s="207">
        <f t="shared" si="23"/>
        <v>0</v>
      </c>
      <c r="I40" s="208">
        <f t="shared" si="23"/>
        <v>0</v>
      </c>
      <c r="J40" s="208">
        <f t="shared" ref="J40:K40" si="24">J16-J38</f>
        <v>0</v>
      </c>
      <c r="K40" s="208">
        <f t="shared" si="24"/>
        <v>0</v>
      </c>
      <c r="L40" s="208">
        <f t="shared" si="23"/>
        <v>-1070.52</v>
      </c>
      <c r="M40" s="209">
        <f t="shared" si="23"/>
        <v>-7936.9531012140433</v>
      </c>
      <c r="N40" s="207">
        <f t="shared" ref="N40:R40" si="25">N16-N38</f>
        <v>-2196411.1301742094</v>
      </c>
      <c r="O40" s="208">
        <f t="shared" ref="O40" si="26">O16-O38</f>
        <v>-2212095.1537975511</v>
      </c>
      <c r="P40" s="254">
        <f t="shared" si="25"/>
        <v>1300946.4058537639</v>
      </c>
      <c r="Q40" s="208">
        <f t="shared" si="25"/>
        <v>-1487354.33</v>
      </c>
      <c r="R40" s="208">
        <f t="shared" si="25"/>
        <v>0</v>
      </c>
      <c r="S40" s="208">
        <f t="shared" ref="S40:U40" si="27">S16-S38</f>
        <v>-897339.74776876858</v>
      </c>
      <c r="T40" s="209">
        <f t="shared" si="27"/>
        <v>0</v>
      </c>
      <c r="U40" s="207">
        <f t="shared" si="27"/>
        <v>517664</v>
      </c>
      <c r="V40" s="207">
        <f t="shared" ref="V40:W40" si="28">V16-V38</f>
        <v>5509265.0565951578</v>
      </c>
      <c r="W40" s="209">
        <f t="shared" si="28"/>
        <v>0</v>
      </c>
      <c r="X40" s="222"/>
    </row>
    <row r="41" spans="1:24" ht="12.9" thickTop="1" x14ac:dyDescent="0.3">
      <c r="A41" s="14"/>
      <c r="B41" s="25"/>
      <c r="C41" s="25"/>
      <c r="D41" s="12"/>
      <c r="E41" s="12"/>
      <c r="F41" s="25"/>
      <c r="G41" s="57"/>
      <c r="H41" s="25"/>
      <c r="I41" s="12"/>
      <c r="J41" s="12"/>
      <c r="K41" s="12"/>
      <c r="L41" s="12"/>
      <c r="M41" s="57"/>
      <c r="N41" s="25"/>
      <c r="O41" s="12"/>
      <c r="P41" s="249"/>
      <c r="Q41" s="12"/>
      <c r="R41" s="12"/>
      <c r="S41" s="12"/>
      <c r="T41" s="57"/>
      <c r="U41" s="25"/>
      <c r="V41" s="25"/>
      <c r="W41" s="57"/>
      <c r="X41" s="12"/>
    </row>
    <row r="42" spans="1:24" x14ac:dyDescent="0.3">
      <c r="A42" s="14" t="s">
        <v>36</v>
      </c>
      <c r="B42" s="25"/>
      <c r="C42" s="25"/>
      <c r="D42" s="12"/>
      <c r="E42" s="12"/>
      <c r="F42" s="25"/>
      <c r="G42" s="57"/>
      <c r="H42" s="25"/>
      <c r="I42" s="12"/>
      <c r="J42" s="12"/>
      <c r="K42" s="12"/>
      <c r="L42" s="12"/>
      <c r="M42" s="57"/>
      <c r="N42" s="25"/>
      <c r="O42" s="12"/>
      <c r="P42" s="249"/>
      <c r="Q42" s="12"/>
      <c r="R42" s="12"/>
      <c r="S42" s="12"/>
      <c r="T42" s="57"/>
      <c r="U42" s="25"/>
      <c r="V42" s="25"/>
      <c r="W42" s="57"/>
      <c r="X42" s="12"/>
    </row>
    <row r="43" spans="1:24" x14ac:dyDescent="0.3">
      <c r="A43" s="14" t="s">
        <v>37</v>
      </c>
      <c r="B43" s="26">
        <f t="shared" ref="B43:B54" si="29">SUM(C43:X43)</f>
        <v>334148578.84063983</v>
      </c>
      <c r="C43" s="27"/>
      <c r="D43" s="60"/>
      <c r="E43" s="60"/>
      <c r="F43" s="27">
        <v>112074897.89437498</v>
      </c>
      <c r="G43" s="61"/>
      <c r="H43" s="27"/>
      <c r="I43" s="60"/>
      <c r="J43" s="60">
        <v>1155586.2634248782</v>
      </c>
      <c r="K43" s="60"/>
      <c r="L43" s="60">
        <v>95034</v>
      </c>
      <c r="M43" s="61">
        <v>783156.35552113433</v>
      </c>
      <c r="N43" s="27">
        <v>56661694.029025115</v>
      </c>
      <c r="O43" s="60">
        <v>163378210.29829377</v>
      </c>
      <c r="P43" s="250"/>
      <c r="Q43" s="60"/>
      <c r="R43" s="60"/>
      <c r="S43" s="60"/>
      <c r="T43" s="61"/>
      <c r="U43" s="27"/>
      <c r="V43" s="27"/>
      <c r="W43" s="61"/>
      <c r="X43" s="60"/>
    </row>
    <row r="44" spans="1:24" x14ac:dyDescent="0.3">
      <c r="A44" s="14" t="s">
        <v>38</v>
      </c>
      <c r="B44" s="26">
        <f t="shared" si="29"/>
        <v>0</v>
      </c>
      <c r="C44" s="27"/>
      <c r="D44" s="60"/>
      <c r="E44" s="60"/>
      <c r="F44" s="27"/>
      <c r="G44" s="61"/>
      <c r="H44" s="27"/>
      <c r="I44" s="60"/>
      <c r="J44" s="60"/>
      <c r="K44" s="60"/>
      <c r="L44" s="60"/>
      <c r="M44" s="61"/>
      <c r="N44" s="27"/>
      <c r="O44" s="60"/>
      <c r="P44" s="250"/>
      <c r="Q44" s="60"/>
      <c r="R44" s="60"/>
      <c r="S44" s="60"/>
      <c r="T44" s="61"/>
      <c r="U44" s="27"/>
      <c r="V44" s="27"/>
      <c r="W44" s="61"/>
      <c r="X44" s="60"/>
    </row>
    <row r="45" spans="1:24" x14ac:dyDescent="0.3">
      <c r="A45" s="14" t="s">
        <v>39</v>
      </c>
      <c r="B45" s="26">
        <f t="shared" si="29"/>
        <v>-489243.1450514372</v>
      </c>
      <c r="C45" s="27"/>
      <c r="D45" s="60"/>
      <c r="E45" s="60"/>
      <c r="F45" s="27"/>
      <c r="G45" s="61"/>
      <c r="H45" s="27"/>
      <c r="I45" s="60"/>
      <c r="J45" s="60"/>
      <c r="K45" s="60"/>
      <c r="L45" s="60"/>
      <c r="M45" s="61"/>
      <c r="N45" s="27"/>
      <c r="O45" s="60"/>
      <c r="P45" s="250"/>
      <c r="Q45" s="60"/>
      <c r="R45" s="60"/>
      <c r="S45" s="60"/>
      <c r="T45" s="61"/>
      <c r="U45" s="27"/>
      <c r="V45" s="27">
        <v>-413046.41499999963</v>
      </c>
      <c r="W45" s="61">
        <v>-76196.730051437567</v>
      </c>
      <c r="X45" s="60"/>
    </row>
    <row r="46" spans="1:24" x14ac:dyDescent="0.3">
      <c r="A46" s="14" t="s">
        <v>40</v>
      </c>
      <c r="B46" s="26">
        <f t="shared" si="29"/>
        <v>0</v>
      </c>
      <c r="C46" s="27"/>
      <c r="D46" s="60"/>
      <c r="E46" s="60"/>
      <c r="F46" s="27"/>
      <c r="G46" s="61"/>
      <c r="H46" s="27"/>
      <c r="I46" s="60"/>
      <c r="J46" s="60"/>
      <c r="K46" s="60"/>
      <c r="L46" s="60"/>
      <c r="M46" s="61"/>
      <c r="N46" s="27"/>
      <c r="O46" s="60"/>
      <c r="P46" s="250"/>
      <c r="Q46" s="60"/>
      <c r="R46" s="60"/>
      <c r="S46" s="60"/>
      <c r="T46" s="61"/>
      <c r="U46" s="27"/>
      <c r="V46" s="27"/>
      <c r="W46" s="61"/>
      <c r="X46" s="60"/>
    </row>
    <row r="47" spans="1:24" x14ac:dyDescent="0.3">
      <c r="A47" s="14" t="s">
        <v>41</v>
      </c>
      <c r="B47" s="26">
        <f t="shared" si="29"/>
        <v>0</v>
      </c>
      <c r="C47" s="27"/>
      <c r="D47" s="60"/>
      <c r="E47" s="60"/>
      <c r="F47" s="27"/>
      <c r="G47" s="61"/>
      <c r="H47" s="27"/>
      <c r="I47" s="60"/>
      <c r="J47" s="60"/>
      <c r="K47" s="60"/>
      <c r="L47" s="60"/>
      <c r="M47" s="61"/>
      <c r="N47" s="27"/>
      <c r="O47" s="60"/>
      <c r="P47" s="250"/>
      <c r="Q47" s="60"/>
      <c r="R47" s="60"/>
      <c r="S47" s="60"/>
      <c r="T47" s="61"/>
      <c r="U47" s="27"/>
      <c r="V47" s="27"/>
      <c r="W47" s="61"/>
      <c r="X47" s="60"/>
    </row>
    <row r="48" spans="1:24" x14ac:dyDescent="0.3">
      <c r="A48" s="14" t="s">
        <v>42</v>
      </c>
      <c r="B48" s="26">
        <f t="shared" si="29"/>
        <v>0</v>
      </c>
      <c r="C48" s="27"/>
      <c r="D48" s="60"/>
      <c r="E48" s="60"/>
      <c r="F48" s="27"/>
      <c r="G48" s="61"/>
      <c r="H48" s="27"/>
      <c r="I48" s="60"/>
      <c r="J48" s="60"/>
      <c r="K48" s="60"/>
      <c r="L48" s="60"/>
      <c r="M48" s="61"/>
      <c r="N48" s="27"/>
      <c r="O48" s="60"/>
      <c r="P48" s="250"/>
      <c r="Q48" s="60"/>
      <c r="R48" s="60"/>
      <c r="S48" s="60"/>
      <c r="T48" s="61"/>
      <c r="U48" s="27"/>
      <c r="V48" s="27"/>
      <c r="W48" s="61"/>
      <c r="X48" s="60"/>
    </row>
    <row r="49" spans="1:24" x14ac:dyDescent="0.3">
      <c r="A49" s="14" t="s">
        <v>43</v>
      </c>
      <c r="B49" s="26">
        <f t="shared" si="29"/>
        <v>0</v>
      </c>
      <c r="C49" s="27"/>
      <c r="D49" s="60"/>
      <c r="E49" s="60"/>
      <c r="F49" s="27"/>
      <c r="G49" s="61"/>
      <c r="H49" s="27"/>
      <c r="I49" s="60"/>
      <c r="J49" s="60"/>
      <c r="K49" s="60"/>
      <c r="L49" s="60"/>
      <c r="M49" s="61"/>
      <c r="N49" s="27"/>
      <c r="O49" s="60"/>
      <c r="P49" s="250"/>
      <c r="Q49" s="60"/>
      <c r="R49" s="60"/>
      <c r="S49" s="60"/>
      <c r="T49" s="61"/>
      <c r="U49" s="27"/>
      <c r="V49" s="27"/>
      <c r="W49" s="61"/>
      <c r="X49" s="60"/>
    </row>
    <row r="50" spans="1:24" x14ac:dyDescent="0.3">
      <c r="A50" s="14" t="s">
        <v>44</v>
      </c>
      <c r="B50" s="26">
        <f t="shared" si="29"/>
        <v>0</v>
      </c>
      <c r="C50" s="27"/>
      <c r="D50" s="60"/>
      <c r="E50" s="60"/>
      <c r="F50" s="27"/>
      <c r="G50" s="61"/>
      <c r="H50" s="27"/>
      <c r="I50" s="60"/>
      <c r="J50" s="60"/>
      <c r="K50" s="60"/>
      <c r="L50" s="60"/>
      <c r="M50" s="61"/>
      <c r="N50" s="27"/>
      <c r="O50" s="60"/>
      <c r="P50" s="250"/>
      <c r="Q50" s="60"/>
      <c r="R50" s="60"/>
      <c r="S50" s="60"/>
      <c r="T50" s="61"/>
      <c r="U50" s="27"/>
      <c r="V50" s="27"/>
      <c r="W50" s="61"/>
      <c r="X50" s="60"/>
    </row>
    <row r="51" spans="1:24" x14ac:dyDescent="0.3">
      <c r="A51" s="14" t="s">
        <v>45</v>
      </c>
      <c r="B51" s="26">
        <f t="shared" si="29"/>
        <v>0</v>
      </c>
      <c r="C51" s="27"/>
      <c r="D51" s="60"/>
      <c r="E51" s="60"/>
      <c r="F51" s="27"/>
      <c r="G51" s="61"/>
      <c r="H51" s="27"/>
      <c r="I51" s="60"/>
      <c r="J51" s="60"/>
      <c r="K51" s="60"/>
      <c r="L51" s="60"/>
      <c r="M51" s="61"/>
      <c r="N51" s="27"/>
      <c r="O51" s="60"/>
      <c r="P51" s="250"/>
      <c r="Q51" s="60"/>
      <c r="R51" s="60"/>
      <c r="S51" s="60"/>
      <c r="T51" s="61"/>
      <c r="U51" s="27"/>
      <c r="V51" s="27"/>
      <c r="W51" s="61"/>
      <c r="X51" s="60"/>
    </row>
    <row r="52" spans="1:24" x14ac:dyDescent="0.3">
      <c r="A52" s="14" t="s">
        <v>46</v>
      </c>
      <c r="B52" s="26">
        <f t="shared" si="29"/>
        <v>0</v>
      </c>
      <c r="C52" s="27"/>
      <c r="D52" s="60"/>
      <c r="E52" s="60"/>
      <c r="F52" s="27"/>
      <c r="G52" s="61"/>
      <c r="H52" s="27"/>
      <c r="I52" s="60"/>
      <c r="J52" s="60"/>
      <c r="K52" s="60"/>
      <c r="L52" s="60"/>
      <c r="M52" s="61"/>
      <c r="N52" s="27"/>
      <c r="O52" s="60"/>
      <c r="P52" s="250"/>
      <c r="Q52" s="60"/>
      <c r="R52" s="60"/>
      <c r="S52" s="60"/>
      <c r="T52" s="61"/>
      <c r="U52" s="27"/>
      <c r="V52" s="27"/>
      <c r="W52" s="61"/>
      <c r="X52" s="60"/>
    </row>
    <row r="53" spans="1:24" x14ac:dyDescent="0.3">
      <c r="A53" s="14" t="s">
        <v>47</v>
      </c>
      <c r="B53" s="26">
        <f t="shared" si="29"/>
        <v>0</v>
      </c>
      <c r="C53" s="27"/>
      <c r="D53" s="60"/>
      <c r="E53" s="60"/>
      <c r="F53" s="27"/>
      <c r="G53" s="61"/>
      <c r="H53" s="27"/>
      <c r="I53" s="60"/>
      <c r="J53" s="60"/>
      <c r="K53" s="60"/>
      <c r="L53" s="60"/>
      <c r="M53" s="61"/>
      <c r="N53" s="27"/>
      <c r="O53" s="60"/>
      <c r="P53" s="250"/>
      <c r="Q53" s="60"/>
      <c r="R53" s="60"/>
      <c r="S53" s="60"/>
      <c r="T53" s="61"/>
      <c r="U53" s="27"/>
      <c r="V53" s="27"/>
      <c r="W53" s="61"/>
      <c r="X53" s="60"/>
    </row>
    <row r="54" spans="1:24" x14ac:dyDescent="0.3">
      <c r="A54" s="14" t="s">
        <v>48</v>
      </c>
      <c r="B54" s="210">
        <f t="shared" si="29"/>
        <v>333659335.69558835</v>
      </c>
      <c r="C54" s="210">
        <f>SUM(C43:C53)</f>
        <v>0</v>
      </c>
      <c r="D54" s="211">
        <f t="shared" ref="D54:M54" si="30">SUM(D43:D53)</f>
        <v>0</v>
      </c>
      <c r="E54" s="211">
        <f t="shared" si="30"/>
        <v>0</v>
      </c>
      <c r="F54" s="210">
        <f t="shared" si="30"/>
        <v>112074897.89437498</v>
      </c>
      <c r="G54" s="212">
        <f t="shared" si="30"/>
        <v>0</v>
      </c>
      <c r="H54" s="210">
        <f t="shared" si="30"/>
        <v>0</v>
      </c>
      <c r="I54" s="211">
        <f t="shared" si="30"/>
        <v>0</v>
      </c>
      <c r="J54" s="211">
        <f t="shared" ref="J54:K54" si="31">SUM(J43:J53)</f>
        <v>1155586.2634248782</v>
      </c>
      <c r="K54" s="211">
        <f t="shared" si="31"/>
        <v>0</v>
      </c>
      <c r="L54" s="211">
        <f t="shared" si="30"/>
        <v>95034</v>
      </c>
      <c r="M54" s="212">
        <f t="shared" si="30"/>
        <v>783156.35552113433</v>
      </c>
      <c r="N54" s="210">
        <f t="shared" ref="N54:R54" si="32">SUM(N43:N53)</f>
        <v>56661694.029025115</v>
      </c>
      <c r="O54" s="211">
        <f t="shared" si="32"/>
        <v>163378210.29829377</v>
      </c>
      <c r="P54" s="255">
        <f t="shared" si="32"/>
        <v>0</v>
      </c>
      <c r="Q54" s="211">
        <f t="shared" si="32"/>
        <v>0</v>
      </c>
      <c r="R54" s="211">
        <f t="shared" si="32"/>
        <v>0</v>
      </c>
      <c r="S54" s="211">
        <f t="shared" ref="S54:U54" si="33">SUM(S43:S53)</f>
        <v>0</v>
      </c>
      <c r="T54" s="212">
        <f t="shared" si="33"/>
        <v>0</v>
      </c>
      <c r="U54" s="210">
        <f t="shared" si="33"/>
        <v>0</v>
      </c>
      <c r="V54" s="210">
        <f t="shared" ref="V54:W54" si="34">SUM(V43:V53)</f>
        <v>-413046.41499999963</v>
      </c>
      <c r="W54" s="212">
        <f t="shared" si="34"/>
        <v>-76196.730051437567</v>
      </c>
      <c r="X54" s="58"/>
    </row>
    <row r="55" spans="1:24" x14ac:dyDescent="0.3">
      <c r="A55" s="14"/>
      <c r="B55" s="25"/>
      <c r="C55" s="25"/>
      <c r="D55" s="12"/>
      <c r="E55" s="12"/>
      <c r="F55" s="25"/>
      <c r="G55" s="57"/>
      <c r="H55" s="25"/>
      <c r="I55" s="12"/>
      <c r="J55" s="12"/>
      <c r="K55" s="12"/>
      <c r="L55" s="12"/>
      <c r="M55" s="57"/>
      <c r="N55" s="25"/>
      <c r="O55" s="12"/>
      <c r="P55" s="249"/>
      <c r="Q55" s="12"/>
      <c r="R55" s="12"/>
      <c r="S55" s="12"/>
      <c r="T55" s="57"/>
      <c r="U55" s="25"/>
      <c r="V55" s="25"/>
      <c r="W55" s="57"/>
      <c r="X55" s="12"/>
    </row>
    <row r="56" spans="1:24" x14ac:dyDescent="0.3">
      <c r="A56" s="14" t="s">
        <v>49</v>
      </c>
      <c r="B56" s="25"/>
      <c r="C56" s="25"/>
      <c r="D56" s="12"/>
      <c r="E56" s="12"/>
      <c r="F56" s="25"/>
      <c r="G56" s="57"/>
      <c r="H56" s="25"/>
      <c r="I56" s="12"/>
      <c r="J56" s="12"/>
      <c r="K56" s="12"/>
      <c r="L56" s="12"/>
      <c r="M56" s="57"/>
      <c r="N56" s="25"/>
      <c r="O56" s="12"/>
      <c r="P56" s="249"/>
      <c r="Q56" s="12"/>
      <c r="R56" s="12"/>
      <c r="S56" s="12"/>
      <c r="T56" s="57"/>
      <c r="U56" s="25"/>
      <c r="V56" s="25"/>
      <c r="W56" s="57"/>
      <c r="X56" s="12"/>
    </row>
    <row r="57" spans="1:24" x14ac:dyDescent="0.3">
      <c r="A57" s="14" t="s">
        <v>50</v>
      </c>
      <c r="B57" s="26">
        <f t="shared" ref="B57:B65" si="35">SUM(C57:X57)</f>
        <v>-51251438.768470183</v>
      </c>
      <c r="C57" s="27"/>
      <c r="D57" s="60"/>
      <c r="E57" s="60"/>
      <c r="F57" s="27"/>
      <c r="G57" s="61"/>
      <c r="H57" s="27">
        <v>-42885257.790897198</v>
      </c>
      <c r="I57" s="60"/>
      <c r="J57" s="60">
        <v>-2039193.9216359917</v>
      </c>
      <c r="K57" s="60">
        <v>-2952540.8917818191</v>
      </c>
      <c r="L57" s="60">
        <v>-15796</v>
      </c>
      <c r="M57" s="61">
        <v>-20863.657451602456</v>
      </c>
      <c r="N57" s="27">
        <v>-1047639.9611335265</v>
      </c>
      <c r="O57" s="60">
        <v>-2290146.5455700466</v>
      </c>
      <c r="P57" s="250"/>
      <c r="Q57" s="60"/>
      <c r="R57" s="60"/>
      <c r="S57" s="60"/>
      <c r="T57" s="61"/>
      <c r="U57" s="27"/>
      <c r="V57" s="27"/>
      <c r="W57" s="61"/>
      <c r="X57" s="60"/>
    </row>
    <row r="58" spans="1:24" x14ac:dyDescent="0.3">
      <c r="A58" s="14" t="s">
        <v>51</v>
      </c>
      <c r="B58" s="26">
        <f t="shared" si="35"/>
        <v>-4541116.6972164949</v>
      </c>
      <c r="C58" s="27"/>
      <c r="D58" s="60"/>
      <c r="E58" s="60"/>
      <c r="F58" s="27"/>
      <c r="G58" s="61"/>
      <c r="H58" s="27">
        <v>-4541116.6972164949</v>
      </c>
      <c r="I58" s="60"/>
      <c r="J58" s="60"/>
      <c r="K58" s="60"/>
      <c r="L58" s="60"/>
      <c r="M58" s="61"/>
      <c r="N58" s="27"/>
      <c r="O58" s="60"/>
      <c r="P58" s="250"/>
      <c r="Q58" s="60"/>
      <c r="R58" s="60"/>
      <c r="S58" s="60"/>
      <c r="T58" s="61"/>
      <c r="U58" s="27"/>
      <c r="V58" s="27"/>
      <c r="W58" s="61"/>
      <c r="X58" s="60"/>
    </row>
    <row r="59" spans="1:24" x14ac:dyDescent="0.3">
      <c r="A59" s="14" t="s">
        <v>52</v>
      </c>
      <c r="B59" s="26">
        <f t="shared" si="35"/>
        <v>-19010143.2274631</v>
      </c>
      <c r="C59" s="27"/>
      <c r="D59" s="60"/>
      <c r="E59" s="60"/>
      <c r="F59" s="27">
        <v>271075.9144625013</v>
      </c>
      <c r="G59" s="61"/>
      <c r="H59" s="27"/>
      <c r="I59" s="60">
        <v>1458888.8986401951</v>
      </c>
      <c r="J59" s="60">
        <v>0</v>
      </c>
      <c r="K59" s="60">
        <v>725931.66161339439</v>
      </c>
      <c r="L59" s="60">
        <v>-19192</v>
      </c>
      <c r="M59" s="61">
        <v>-28284.400002177117</v>
      </c>
      <c r="N59" s="27"/>
      <c r="O59" s="60"/>
      <c r="P59" s="250"/>
      <c r="Q59" s="60"/>
      <c r="R59" s="60">
        <v>-595243.43684617733</v>
      </c>
      <c r="S59" s="60">
        <v>-24209006.120432053</v>
      </c>
      <c r="T59" s="61"/>
      <c r="U59" s="27">
        <v>3265398</v>
      </c>
      <c r="V59" s="27">
        <v>101554.06987039014</v>
      </c>
      <c r="W59" s="61">
        <v>18734.185230826712</v>
      </c>
      <c r="X59" s="60"/>
    </row>
    <row r="60" spans="1:24" x14ac:dyDescent="0.3">
      <c r="A60" s="14" t="s">
        <v>53</v>
      </c>
      <c r="B60" s="26">
        <f t="shared" si="35"/>
        <v>0</v>
      </c>
      <c r="C60" s="27"/>
      <c r="D60" s="60"/>
      <c r="E60" s="60"/>
      <c r="F60" s="27"/>
      <c r="G60" s="61"/>
      <c r="H60" s="27"/>
      <c r="I60" s="60"/>
      <c r="J60" s="60"/>
      <c r="K60" s="60"/>
      <c r="L60" s="60"/>
      <c r="M60" s="61"/>
      <c r="N60" s="27"/>
      <c r="O60" s="60"/>
      <c r="P60" s="250"/>
      <c r="Q60" s="60"/>
      <c r="R60" s="60"/>
      <c r="S60" s="60"/>
      <c r="T60" s="61"/>
      <c r="U60" s="27"/>
      <c r="V60" s="27"/>
      <c r="W60" s="61"/>
      <c r="X60" s="60"/>
    </row>
    <row r="61" spans="1:24" x14ac:dyDescent="0.3">
      <c r="A61" s="14" t="s">
        <v>54</v>
      </c>
      <c r="B61" s="26">
        <f t="shared" si="35"/>
        <v>0</v>
      </c>
      <c r="C61" s="27"/>
      <c r="D61" s="60"/>
      <c r="E61" s="60"/>
      <c r="F61" s="27"/>
      <c r="G61" s="61"/>
      <c r="H61" s="27"/>
      <c r="I61" s="60"/>
      <c r="J61" s="60"/>
      <c r="K61" s="60"/>
      <c r="L61" s="60"/>
      <c r="M61" s="61"/>
      <c r="N61" s="27"/>
      <c r="O61" s="60"/>
      <c r="P61" s="250"/>
      <c r="Q61" s="60"/>
      <c r="R61" s="60"/>
      <c r="S61" s="60"/>
      <c r="T61" s="61"/>
      <c r="U61" s="27"/>
      <c r="V61" s="27"/>
      <c r="W61" s="61"/>
      <c r="X61" s="60"/>
    </row>
    <row r="62" spans="1:24" x14ac:dyDescent="0.3">
      <c r="A62" s="14" t="s">
        <v>55</v>
      </c>
      <c r="B62" s="26">
        <f t="shared" si="35"/>
        <v>0</v>
      </c>
      <c r="C62" s="27"/>
      <c r="D62" s="60"/>
      <c r="E62" s="60"/>
      <c r="F62" s="27"/>
      <c r="G62" s="61"/>
      <c r="H62" s="27"/>
      <c r="I62" s="60"/>
      <c r="J62" s="60"/>
      <c r="K62" s="60"/>
      <c r="L62" s="60"/>
      <c r="M62" s="61"/>
      <c r="N62" s="27"/>
      <c r="O62" s="60"/>
      <c r="P62" s="250"/>
      <c r="Q62" s="60"/>
      <c r="R62" s="60"/>
      <c r="S62" s="60"/>
      <c r="T62" s="61"/>
      <c r="U62" s="27"/>
      <c r="V62" s="27"/>
      <c r="W62" s="61"/>
      <c r="X62" s="60"/>
    </row>
    <row r="63" spans="1:24" x14ac:dyDescent="0.3">
      <c r="A63" s="14" t="s">
        <v>56</v>
      </c>
      <c r="B63" s="26">
        <f t="shared" si="35"/>
        <v>-3335283.8417438725</v>
      </c>
      <c r="C63" s="27"/>
      <c r="D63" s="60"/>
      <c r="E63" s="60"/>
      <c r="F63" s="27"/>
      <c r="G63" s="61"/>
      <c r="H63" s="27"/>
      <c r="I63" s="60">
        <v>-5933674.8417438725</v>
      </c>
      <c r="J63" s="60"/>
      <c r="K63" s="60"/>
      <c r="L63" s="60"/>
      <c r="M63" s="61"/>
      <c r="N63" s="27"/>
      <c r="O63" s="60"/>
      <c r="P63" s="250"/>
      <c r="Q63" s="60"/>
      <c r="R63" s="60">
        <v>2598391</v>
      </c>
      <c r="S63" s="60"/>
      <c r="T63" s="61"/>
      <c r="U63" s="27"/>
      <c r="V63" s="27"/>
      <c r="W63" s="61"/>
      <c r="X63" s="60"/>
    </row>
    <row r="64" spans="1:24" x14ac:dyDescent="0.3">
      <c r="A64" s="14"/>
      <c r="B64" s="25">
        <f t="shared" si="35"/>
        <v>0</v>
      </c>
      <c r="C64" s="25"/>
      <c r="D64" s="12"/>
      <c r="E64" s="12"/>
      <c r="F64" s="25"/>
      <c r="G64" s="57"/>
      <c r="H64" s="25"/>
      <c r="I64" s="12"/>
      <c r="J64" s="12"/>
      <c r="K64" s="12"/>
      <c r="L64" s="12"/>
      <c r="M64" s="57"/>
      <c r="N64" s="25"/>
      <c r="O64" s="12"/>
      <c r="P64" s="249"/>
      <c r="Q64" s="12"/>
      <c r="R64" s="12"/>
      <c r="S64" s="12"/>
      <c r="T64" s="57"/>
      <c r="U64" s="25"/>
      <c r="V64" s="25"/>
      <c r="W64" s="57"/>
      <c r="X64" s="12"/>
    </row>
    <row r="65" spans="1:24" x14ac:dyDescent="0.3">
      <c r="A65" s="14" t="s">
        <v>57</v>
      </c>
      <c r="B65" s="203">
        <f t="shared" si="35"/>
        <v>-78137982.534893647</v>
      </c>
      <c r="C65" s="203">
        <f t="shared" ref="C65:M65" si="36">SUM(C57:C64)</f>
        <v>0</v>
      </c>
      <c r="D65" s="204">
        <f t="shared" si="36"/>
        <v>0</v>
      </c>
      <c r="E65" s="204">
        <f t="shared" si="36"/>
        <v>0</v>
      </c>
      <c r="F65" s="203">
        <f t="shared" si="36"/>
        <v>271075.9144625013</v>
      </c>
      <c r="G65" s="205">
        <f t="shared" si="36"/>
        <v>0</v>
      </c>
      <c r="H65" s="203">
        <f t="shared" si="36"/>
        <v>-47426374.488113694</v>
      </c>
      <c r="I65" s="204">
        <f t="shared" si="36"/>
        <v>-4474785.9431036776</v>
      </c>
      <c r="J65" s="204">
        <f t="shared" ref="J65:K65" si="37">SUM(J57:J64)</f>
        <v>-2039193.9216359917</v>
      </c>
      <c r="K65" s="204">
        <f t="shared" si="37"/>
        <v>-2226609.2301684245</v>
      </c>
      <c r="L65" s="204">
        <f t="shared" si="36"/>
        <v>-34988</v>
      </c>
      <c r="M65" s="205">
        <f t="shared" si="36"/>
        <v>-49148.057453779576</v>
      </c>
      <c r="N65" s="203">
        <f t="shared" ref="N65:R65" si="38">SUM(N57:N64)</f>
        <v>-1047639.9611335265</v>
      </c>
      <c r="O65" s="204">
        <f t="shared" ref="O65" si="39">SUM(O57:O64)</f>
        <v>-2290146.5455700466</v>
      </c>
      <c r="P65" s="251">
        <f t="shared" si="38"/>
        <v>0</v>
      </c>
      <c r="Q65" s="204">
        <f t="shared" si="38"/>
        <v>0</v>
      </c>
      <c r="R65" s="204">
        <f t="shared" si="38"/>
        <v>2003147.5631538227</v>
      </c>
      <c r="S65" s="204">
        <f t="shared" ref="S65:U65" si="40">SUM(S57:S64)</f>
        <v>-24209006.120432053</v>
      </c>
      <c r="T65" s="205">
        <f t="shared" si="40"/>
        <v>0</v>
      </c>
      <c r="U65" s="203">
        <f t="shared" si="40"/>
        <v>3265398</v>
      </c>
      <c r="V65" s="203">
        <f t="shared" ref="V65:W65" si="41">SUM(V57:V64)</f>
        <v>101554.06987039014</v>
      </c>
      <c r="W65" s="205">
        <f t="shared" si="41"/>
        <v>18734.185230826712</v>
      </c>
      <c r="X65" s="12"/>
    </row>
    <row r="66" spans="1:24" x14ac:dyDescent="0.3">
      <c r="A66" s="14"/>
      <c r="B66" s="25"/>
      <c r="C66" s="25"/>
      <c r="D66" s="12"/>
      <c r="E66" s="12"/>
      <c r="F66" s="25"/>
      <c r="G66" s="57"/>
      <c r="H66" s="25"/>
      <c r="I66" s="12"/>
      <c r="J66" s="12"/>
      <c r="K66" s="12"/>
      <c r="L66" s="12"/>
      <c r="M66" s="57"/>
      <c r="N66" s="25"/>
      <c r="O66" s="12"/>
      <c r="P66" s="249"/>
      <c r="Q66" s="12"/>
      <c r="R66" s="12"/>
      <c r="S66" s="12"/>
      <c r="T66" s="57"/>
      <c r="U66" s="25"/>
      <c r="V66" s="25"/>
      <c r="W66" s="57"/>
      <c r="X66" s="12"/>
    </row>
    <row r="67" spans="1:24" ht="12.9" thickBot="1" x14ac:dyDescent="0.35">
      <c r="A67" s="14" t="s">
        <v>58</v>
      </c>
      <c r="B67" s="213">
        <f>SUM(C67:X67)</f>
        <v>255521353.16069481</v>
      </c>
      <c r="C67" s="213">
        <f t="shared" ref="C67:W67" si="42">C54+C65</f>
        <v>0</v>
      </c>
      <c r="D67" s="214">
        <f t="shared" si="42"/>
        <v>0</v>
      </c>
      <c r="E67" s="214">
        <f t="shared" si="42"/>
        <v>0</v>
      </c>
      <c r="F67" s="213">
        <f t="shared" si="42"/>
        <v>112345973.80883749</v>
      </c>
      <c r="G67" s="215">
        <f t="shared" si="42"/>
        <v>0</v>
      </c>
      <c r="H67" s="213">
        <f t="shared" si="42"/>
        <v>-47426374.488113694</v>
      </c>
      <c r="I67" s="214">
        <f t="shared" si="42"/>
        <v>-4474785.9431036776</v>
      </c>
      <c r="J67" s="214">
        <f t="shared" si="42"/>
        <v>-883607.65821111342</v>
      </c>
      <c r="K67" s="214">
        <f t="shared" si="42"/>
        <v>-2226609.2301684245</v>
      </c>
      <c r="L67" s="214">
        <f t="shared" si="42"/>
        <v>60046</v>
      </c>
      <c r="M67" s="215">
        <f t="shared" si="42"/>
        <v>734008.29806735471</v>
      </c>
      <c r="N67" s="213">
        <f t="shared" si="42"/>
        <v>55614054.06789159</v>
      </c>
      <c r="O67" s="214">
        <f t="shared" si="42"/>
        <v>161088063.75272372</v>
      </c>
      <c r="P67" s="256">
        <f t="shared" si="42"/>
        <v>0</v>
      </c>
      <c r="Q67" s="214">
        <f t="shared" si="42"/>
        <v>0</v>
      </c>
      <c r="R67" s="214">
        <f t="shared" si="42"/>
        <v>2003147.5631538227</v>
      </c>
      <c r="S67" s="214">
        <f t="shared" si="42"/>
        <v>-24209006.120432053</v>
      </c>
      <c r="T67" s="215">
        <f t="shared" si="42"/>
        <v>0</v>
      </c>
      <c r="U67" s="213">
        <f t="shared" si="42"/>
        <v>3265398</v>
      </c>
      <c r="V67" s="213">
        <f t="shared" si="42"/>
        <v>-311492.34512960946</v>
      </c>
      <c r="W67" s="215">
        <f t="shared" si="42"/>
        <v>-57462.544820610856</v>
      </c>
      <c r="X67" s="13"/>
    </row>
    <row r="68" spans="1:24" ht="12.9" thickTop="1" x14ac:dyDescent="0.3">
      <c r="A68" s="14"/>
      <c r="B68" s="25"/>
      <c r="C68" s="25"/>
      <c r="D68" s="12"/>
      <c r="E68" s="12"/>
      <c r="F68" s="25"/>
      <c r="G68" s="57"/>
      <c r="H68" s="25"/>
      <c r="I68" s="12"/>
      <c r="J68" s="12"/>
      <c r="K68" s="12"/>
      <c r="L68" s="12"/>
      <c r="M68" s="57"/>
      <c r="N68" s="25"/>
      <c r="O68" s="12"/>
      <c r="P68" s="249"/>
      <c r="Q68" s="12"/>
      <c r="R68" s="12"/>
      <c r="S68" s="12"/>
      <c r="T68" s="57"/>
      <c r="U68" s="25"/>
      <c r="V68" s="25"/>
      <c r="W68" s="57"/>
      <c r="X68" s="12"/>
    </row>
    <row r="69" spans="1:24" x14ac:dyDescent="0.3">
      <c r="A69" s="14"/>
      <c r="B69" s="25"/>
      <c r="C69" s="25"/>
      <c r="D69" s="12"/>
      <c r="E69" s="12"/>
      <c r="F69" s="25"/>
      <c r="G69" s="57"/>
      <c r="H69" s="25"/>
      <c r="I69" s="12"/>
      <c r="J69" s="12"/>
      <c r="K69" s="12"/>
      <c r="L69" s="12"/>
      <c r="M69" s="57"/>
      <c r="N69" s="25"/>
      <c r="O69" s="12"/>
      <c r="P69" s="249"/>
      <c r="Q69" s="12"/>
      <c r="R69" s="12"/>
      <c r="S69" s="12"/>
      <c r="T69" s="57"/>
      <c r="U69" s="25"/>
      <c r="V69" s="25"/>
      <c r="W69" s="57"/>
      <c r="X69" s="12"/>
    </row>
    <row r="70" spans="1:24" s="137" customFormat="1" hidden="1" x14ac:dyDescent="0.3">
      <c r="A70" s="166" t="s">
        <v>91</v>
      </c>
      <c r="B70" s="17">
        <f t="shared" ref="B70:W70" si="43">(((B40+Unadj_Op_revenue)/(B67+Unadj_rate_base))-Weighted_cost_debt-Weighted_cost_pref)/Percent_common-Unadj_ROE</f>
        <v>-2.8925092336194363E-2</v>
      </c>
      <c r="C70" s="17">
        <f t="shared" si="43"/>
        <v>3.9822535028553319E-3</v>
      </c>
      <c r="D70" s="16">
        <f t="shared" si="43"/>
        <v>-4.3767333510555395E-4</v>
      </c>
      <c r="E70" s="16">
        <f t="shared" si="43"/>
        <v>3.0910720960193594E-4</v>
      </c>
      <c r="F70" s="17">
        <f t="shared" si="43"/>
        <v>-1.3023019142518841E-2</v>
      </c>
      <c r="G70" s="18">
        <f t="shared" si="43"/>
        <v>-4.9523962873150307E-3</v>
      </c>
      <c r="H70" s="17">
        <f t="shared" si="43"/>
        <v>7.1311850109359587E-3</v>
      </c>
      <c r="I70" s="16">
        <f t="shared" si="43"/>
        <v>1.1953013036723886E-3</v>
      </c>
      <c r="J70" s="16">
        <f t="shared" si="43"/>
        <v>7.2009582067855682E-4</v>
      </c>
      <c r="K70" s="16">
        <f t="shared" si="43"/>
        <v>8.9744427228206913E-4</v>
      </c>
      <c r="L70" s="16">
        <f t="shared" si="43"/>
        <v>5.9375351823276468E-4</v>
      </c>
      <c r="M70" s="18">
        <f t="shared" si="43"/>
        <v>4.9232080019530333E-4</v>
      </c>
      <c r="N70" s="17">
        <f t="shared" si="43"/>
        <v>-1.0250381685035143E-2</v>
      </c>
      <c r="O70" s="16">
        <f t="shared" si="43"/>
        <v>-2.1474045813564435E-2</v>
      </c>
      <c r="P70" s="257">
        <f t="shared" si="43"/>
        <v>3.0211949428497753E-3</v>
      </c>
      <c r="Q70" s="16">
        <f t="shared" si="43"/>
        <v>-2.1602981052020881E-3</v>
      </c>
      <c r="R70" s="16">
        <f t="shared" si="43"/>
        <v>3.4035736461195121E-4</v>
      </c>
      <c r="S70" s="16">
        <f t="shared" si="43"/>
        <v>2.1582890007586508E-3</v>
      </c>
      <c r="T70" s="18">
        <f t="shared" si="43"/>
        <v>6.0364913398446018E-4</v>
      </c>
      <c r="U70" s="17">
        <f t="shared" si="43"/>
        <v>1.1340574795434266E-3</v>
      </c>
      <c r="V70" s="17">
        <f t="shared" si="43"/>
        <v>1.0885443423213723E-2</v>
      </c>
      <c r="W70" s="18">
        <f t="shared" si="43"/>
        <v>6.1121615622823644E-4</v>
      </c>
      <c r="X70" s="16"/>
    </row>
    <row r="71" spans="1:24" x14ac:dyDescent="0.3">
      <c r="A71" s="14" t="s">
        <v>6</v>
      </c>
      <c r="B71" s="29">
        <f>SUM(C71:X71)</f>
        <v>26063308.876654342</v>
      </c>
      <c r="C71" s="29">
        <f t="shared" ref="C71:S71" si="44">-(C40-(C67*Overall_ROR))/gross_up_factor</f>
        <v>-2418288.7648376417</v>
      </c>
      <c r="D71" s="189">
        <f t="shared" si="44"/>
        <v>745342.79620757513</v>
      </c>
      <c r="E71" s="189">
        <f t="shared" ref="E71" si="45">-(E40-(E67*Overall_ROR))/gross_up_factor</f>
        <v>210822.97562587843</v>
      </c>
      <c r="F71" s="29">
        <f t="shared" si="44"/>
        <v>10753305.428922944</v>
      </c>
      <c r="G71" s="216">
        <f t="shared" si="44"/>
        <v>3976826.1543290936</v>
      </c>
      <c r="H71" s="29">
        <f t="shared" si="44"/>
        <v>-4470006.7628523502</v>
      </c>
      <c r="I71" s="189">
        <f t="shared" si="44"/>
        <v>-421755.27106764575</v>
      </c>
      <c r="J71" s="189">
        <f t="shared" ref="J71:K71" si="46">-(J40-(J67*Overall_ROR))/gross_up_factor</f>
        <v>-83281.34398933893</v>
      </c>
      <c r="K71" s="189">
        <f t="shared" si="46"/>
        <v>-209861.2517719818</v>
      </c>
      <c r="L71" s="189">
        <f t="shared" si="44"/>
        <v>7083.3300089915128</v>
      </c>
      <c r="M71" s="216">
        <f t="shared" si="44"/>
        <v>79738.366289264028</v>
      </c>
      <c r="N71" s="29">
        <f t="shared" si="44"/>
        <v>8163166.581992574</v>
      </c>
      <c r="O71" s="189">
        <f t="shared" ref="O71" si="47">-(O40-(O67*Overall_ROR))/gross_up_factor</f>
        <v>18125111.230621364</v>
      </c>
      <c r="P71" s="258">
        <f t="shared" ref="P71:R71" si="48">-(P40-(P67*Overall_ROR))/gross_up_factor</f>
        <v>-1730396.1132368969</v>
      </c>
      <c r="Q71" s="189">
        <f t="shared" si="48"/>
        <v>1978338.3389641137</v>
      </c>
      <c r="R71" s="189">
        <f t="shared" si="48"/>
        <v>188799.65527478643</v>
      </c>
      <c r="S71" s="189">
        <f t="shared" si="44"/>
        <v>-1088178.4195233244</v>
      </c>
      <c r="T71" s="216">
        <f t="shared" ref="T71:U71" si="49">-(T40-(T67*Overall_ROR))/gross_up_factor</f>
        <v>0</v>
      </c>
      <c r="U71" s="29">
        <f t="shared" si="49"/>
        <v>-380779.14295485622</v>
      </c>
      <c r="V71" s="29">
        <f t="shared" ref="V71:W71" si="50">-(V40-(V67*Overall_ROR))/gross_up_factor</f>
        <v>-7357262.9805137087</v>
      </c>
      <c r="W71" s="216">
        <f t="shared" si="50"/>
        <v>-5415.930834502482</v>
      </c>
      <c r="X71" s="189"/>
    </row>
    <row r="72" spans="1:24" x14ac:dyDescent="0.3">
      <c r="A72" s="14"/>
      <c r="B72" s="17"/>
      <c r="C72" s="17"/>
      <c r="D72" s="16"/>
      <c r="E72" s="16"/>
      <c r="F72" s="17"/>
      <c r="G72" s="18"/>
      <c r="H72" s="17"/>
      <c r="I72" s="16"/>
      <c r="J72" s="16"/>
      <c r="K72" s="16"/>
      <c r="L72" s="16"/>
      <c r="M72" s="18"/>
      <c r="N72" s="17"/>
      <c r="O72" s="16"/>
      <c r="P72" s="257"/>
      <c r="Q72" s="16"/>
      <c r="R72" s="16"/>
      <c r="S72" s="16"/>
      <c r="T72" s="18"/>
      <c r="U72" s="17"/>
      <c r="V72" s="17"/>
      <c r="W72" s="18"/>
      <c r="X72" s="16"/>
    </row>
    <row r="73" spans="1:24" x14ac:dyDescent="0.3">
      <c r="A73" s="14" t="s">
        <v>60</v>
      </c>
      <c r="B73" s="25"/>
      <c r="C73" s="25"/>
      <c r="D73" s="12"/>
      <c r="E73" s="12"/>
      <c r="F73" s="25"/>
      <c r="G73" s="57"/>
      <c r="H73" s="25"/>
      <c r="I73" s="12"/>
      <c r="J73" s="12"/>
      <c r="K73" s="12"/>
      <c r="L73" s="12"/>
      <c r="M73" s="57"/>
      <c r="N73" s="25"/>
      <c r="O73" s="12"/>
      <c r="P73" s="249"/>
      <c r="Q73" s="12"/>
      <c r="R73" s="12"/>
      <c r="S73" s="12"/>
      <c r="T73" s="57"/>
      <c r="U73" s="25"/>
      <c r="V73" s="25"/>
      <c r="W73" s="57"/>
      <c r="X73" s="12"/>
    </row>
    <row r="74" spans="1:24" x14ac:dyDescent="0.3">
      <c r="A74" s="14" t="s">
        <v>61</v>
      </c>
      <c r="B74" s="29">
        <f t="shared" ref="B74:B80" si="51">SUM(C74:X74)</f>
        <v>-2853123.1101710014</v>
      </c>
      <c r="C74" s="29">
        <f t="shared" ref="C74:S74" si="52">C16-C29-C30-C31-C32-C37</f>
        <v>2301415.0116205518</v>
      </c>
      <c r="D74" s="189">
        <f t="shared" si="52"/>
        <v>-709321.03929718887</v>
      </c>
      <c r="E74" s="189">
        <f t="shared" si="52"/>
        <v>-200634.08801904801</v>
      </c>
      <c r="F74" s="29">
        <f t="shared" si="52"/>
        <v>0</v>
      </c>
      <c r="G74" s="216">
        <f t="shared" si="52"/>
        <v>-3784629.670060379</v>
      </c>
      <c r="H74" s="29">
        <f>H16-H29-H30-H31-H32-H37</f>
        <v>0</v>
      </c>
      <c r="I74" s="189">
        <f t="shared" si="52"/>
        <v>0</v>
      </c>
      <c r="J74" s="189">
        <f t="shared" ref="J74:K74" si="53">J16-J29-J30-J31-J32-J37</f>
        <v>0</v>
      </c>
      <c r="K74" s="189">
        <f t="shared" si="53"/>
        <v>0</v>
      </c>
      <c r="L74" s="189">
        <f t="shared" si="52"/>
        <v>-1353</v>
      </c>
      <c r="M74" s="216">
        <f t="shared" si="52"/>
        <v>-6743.4738632640911</v>
      </c>
      <c r="N74" s="29">
        <f t="shared" si="52"/>
        <v>-2780267.2533850749</v>
      </c>
      <c r="O74" s="189">
        <f t="shared" ref="O74" si="54">O16-O29-O30-O31-O32-O37</f>
        <v>-2800120.4478450012</v>
      </c>
      <c r="P74" s="258">
        <f t="shared" ref="P74:R74" si="55">P16-P29-P30-P31-P32-P37</f>
        <v>0</v>
      </c>
      <c r="Q74" s="189">
        <f t="shared" si="55"/>
        <v>-1882727</v>
      </c>
      <c r="R74" s="189">
        <f t="shared" si="55"/>
        <v>0</v>
      </c>
      <c r="S74" s="189">
        <f t="shared" si="52"/>
        <v>0</v>
      </c>
      <c r="T74" s="216">
        <f t="shared" ref="T74:U74" si="56">T16-T29-T30-T31-T32-T37</f>
        <v>0</v>
      </c>
      <c r="U74" s="29">
        <f t="shared" si="56"/>
        <v>0</v>
      </c>
      <c r="V74" s="29">
        <f t="shared" ref="V74:W74" si="57">V16-V29-V30-V31-V32-V37</f>
        <v>7011257.8506784029</v>
      </c>
      <c r="W74" s="216">
        <f t="shared" si="57"/>
        <v>0</v>
      </c>
      <c r="X74" s="189"/>
    </row>
    <row r="75" spans="1:24" x14ac:dyDescent="0.3">
      <c r="A75" s="14" t="s">
        <v>62</v>
      </c>
      <c r="B75" s="29">
        <f t="shared" si="51"/>
        <v>0</v>
      </c>
      <c r="C75" s="25"/>
      <c r="D75" s="12"/>
      <c r="E75" s="12"/>
      <c r="F75" s="25"/>
      <c r="G75" s="57"/>
      <c r="H75" s="25"/>
      <c r="I75" s="12"/>
      <c r="J75" s="12"/>
      <c r="K75" s="12"/>
      <c r="L75" s="12"/>
      <c r="M75" s="57"/>
      <c r="N75" s="25"/>
      <c r="O75" s="12"/>
      <c r="P75" s="249"/>
      <c r="Q75" s="12"/>
      <c r="R75" s="12"/>
      <c r="S75" s="12"/>
      <c r="T75" s="57"/>
      <c r="U75" s="25"/>
      <c r="V75" s="25"/>
      <c r="W75" s="57"/>
      <c r="X75" s="12"/>
    </row>
    <row r="76" spans="1:24" x14ac:dyDescent="0.3">
      <c r="A76" s="14" t="s">
        <v>63</v>
      </c>
      <c r="B76" s="29">
        <f t="shared" si="51"/>
        <v>0</v>
      </c>
      <c r="C76" s="26"/>
      <c r="D76" s="58"/>
      <c r="E76" s="58"/>
      <c r="F76" s="26"/>
      <c r="G76" s="59"/>
      <c r="H76" s="26"/>
      <c r="I76" s="58"/>
      <c r="J76" s="58"/>
      <c r="K76" s="58"/>
      <c r="L76" s="58"/>
      <c r="M76" s="59"/>
      <c r="N76" s="26"/>
      <c r="O76" s="58"/>
      <c r="P76" s="253"/>
      <c r="Q76" s="58"/>
      <c r="R76" s="58"/>
      <c r="S76" s="58"/>
      <c r="T76" s="59"/>
      <c r="U76" s="26"/>
      <c r="V76" s="26"/>
      <c r="W76" s="59"/>
      <c r="X76" s="58"/>
    </row>
    <row r="77" spans="1:24" x14ac:dyDescent="0.3">
      <c r="A77" s="14" t="s">
        <v>64</v>
      </c>
      <c r="B77" s="29">
        <f t="shared" si="51"/>
        <v>6194982.885017924</v>
      </c>
      <c r="C77" s="26"/>
      <c r="D77" s="58"/>
      <c r="E77" s="58"/>
      <c r="F77" s="26"/>
      <c r="G77" s="59"/>
      <c r="H77" s="26"/>
      <c r="I77" s="58"/>
      <c r="J77" s="58"/>
      <c r="K77" s="58"/>
      <c r="L77" s="58"/>
      <c r="M77" s="59"/>
      <c r="N77" s="26"/>
      <c r="O77" s="58"/>
      <c r="P77" s="253">
        <f>+'Interest Calc-Exh JH-4'!C16</f>
        <v>6194982.885017924</v>
      </c>
      <c r="Q77" s="58"/>
      <c r="R77" s="58"/>
      <c r="S77" s="58"/>
      <c r="T77" s="59"/>
      <c r="U77" s="26"/>
      <c r="V77" s="26"/>
      <c r="W77" s="59"/>
      <c r="X77" s="58"/>
    </row>
    <row r="78" spans="1:24" x14ac:dyDescent="0.3">
      <c r="A78" s="14" t="s">
        <v>65</v>
      </c>
      <c r="B78" s="29">
        <f t="shared" si="51"/>
        <v>10421703.942504384</v>
      </c>
      <c r="C78" s="26"/>
      <c r="D78" s="58"/>
      <c r="E78" s="58"/>
      <c r="F78" s="26">
        <v>254857.61407934257</v>
      </c>
      <c r="G78" s="59"/>
      <c r="H78" s="26"/>
      <c r="I78" s="58"/>
      <c r="J78" s="58"/>
      <c r="K78" s="58"/>
      <c r="L78" s="58">
        <v>1353</v>
      </c>
      <c r="M78" s="59">
        <v>8356.9791652138538</v>
      </c>
      <c r="N78" s="26"/>
      <c r="O78" s="58"/>
      <c r="P78" s="253"/>
      <c r="Q78" s="58"/>
      <c r="R78" s="58"/>
      <c r="S78" s="58">
        <v>10157136.349259827</v>
      </c>
      <c r="T78" s="59">
        <v>0</v>
      </c>
      <c r="U78" s="26"/>
      <c r="V78" s="26"/>
      <c r="W78" s="59"/>
      <c r="X78" s="58"/>
    </row>
    <row r="79" spans="1:24" x14ac:dyDescent="0.3">
      <c r="A79" s="14" t="s">
        <v>66</v>
      </c>
      <c r="B79" s="29">
        <f t="shared" si="51"/>
        <v>21588036.603057332</v>
      </c>
      <c r="C79" s="66"/>
      <c r="D79" s="64"/>
      <c r="E79" s="64"/>
      <c r="F79" s="66">
        <v>3703700.9911775519</v>
      </c>
      <c r="G79" s="67"/>
      <c r="H79" s="66"/>
      <c r="I79" s="64"/>
      <c r="J79" s="64"/>
      <c r="K79" s="64"/>
      <c r="L79" s="64">
        <v>1388</v>
      </c>
      <c r="M79" s="67">
        <v>81115.985121235703</v>
      </c>
      <c r="N79" s="66"/>
      <c r="O79" s="64"/>
      <c r="P79" s="259"/>
      <c r="Q79" s="64"/>
      <c r="R79" s="64"/>
      <c r="S79" s="64">
        <v>16975738.796758544</v>
      </c>
      <c r="T79" s="67">
        <v>0</v>
      </c>
      <c r="U79" s="66"/>
      <c r="V79" s="66">
        <v>826092.83000000054</v>
      </c>
      <c r="W79" s="67"/>
      <c r="X79" s="58"/>
    </row>
    <row r="80" spans="1:24" x14ac:dyDescent="0.3">
      <c r="A80" s="14" t="s">
        <v>67</v>
      </c>
      <c r="B80" s="185">
        <f t="shared" si="51"/>
        <v>-20214438.65574187</v>
      </c>
      <c r="C80" s="115">
        <f t="shared" ref="C80:M80" si="58">C74-C76-C77+C78-C79</f>
        <v>2301415.0116205518</v>
      </c>
      <c r="D80" s="13">
        <f t="shared" si="58"/>
        <v>-709321.03929718887</v>
      </c>
      <c r="E80" s="13">
        <f t="shared" si="58"/>
        <v>-200634.08801904801</v>
      </c>
      <c r="F80" s="115">
        <f t="shared" si="58"/>
        <v>-3448843.3770982092</v>
      </c>
      <c r="G80" s="116">
        <f t="shared" si="58"/>
        <v>-3784629.670060379</v>
      </c>
      <c r="H80" s="115">
        <f t="shared" si="58"/>
        <v>0</v>
      </c>
      <c r="I80" s="13">
        <f t="shared" si="58"/>
        <v>0</v>
      </c>
      <c r="J80" s="13">
        <f t="shared" ref="J80:K80" si="59">J74-J76-J77+J78-J79</f>
        <v>0</v>
      </c>
      <c r="K80" s="13">
        <f t="shared" si="59"/>
        <v>0</v>
      </c>
      <c r="L80" s="13">
        <f t="shared" si="58"/>
        <v>-1388</v>
      </c>
      <c r="M80" s="116">
        <f t="shared" si="58"/>
        <v>-79502.479819285945</v>
      </c>
      <c r="N80" s="115">
        <f t="shared" ref="N80:Q80" si="60">N74-N76-N77+N78-N79</f>
        <v>-2780267.2533850749</v>
      </c>
      <c r="O80" s="13">
        <f t="shared" ref="O80" si="61">O74-O76-O77+O78-O79</f>
        <v>-2800120.4478450012</v>
      </c>
      <c r="P80" s="260">
        <f t="shared" si="60"/>
        <v>-6194982.885017924</v>
      </c>
      <c r="Q80" s="13">
        <f t="shared" si="60"/>
        <v>-1882727</v>
      </c>
      <c r="R80" s="13">
        <f>R74-R76-R77+R78-R79</f>
        <v>0</v>
      </c>
      <c r="S80" s="13">
        <f t="shared" ref="S80" si="62">S74-S76-S77+S78-S79</f>
        <v>-6818602.4474987164</v>
      </c>
      <c r="T80" s="116">
        <f t="shared" ref="T80:U80" si="63">T74-T76-T77+T78-T79</f>
        <v>0</v>
      </c>
      <c r="U80" s="115">
        <f t="shared" si="63"/>
        <v>0</v>
      </c>
      <c r="V80" s="115">
        <f t="shared" ref="V80:W80" si="64">V74-V76-V77+V78-V79</f>
        <v>6185165.0206784029</v>
      </c>
      <c r="W80" s="116">
        <f t="shared" si="64"/>
        <v>0</v>
      </c>
      <c r="X80" s="13"/>
    </row>
    <row r="81" spans="1:24" x14ac:dyDescent="0.3">
      <c r="A81" s="14"/>
      <c r="B81" s="25"/>
      <c r="C81" s="25"/>
      <c r="D81" s="12"/>
      <c r="E81" s="12"/>
      <c r="F81" s="25"/>
      <c r="G81" s="57"/>
      <c r="H81" s="25"/>
      <c r="I81" s="12"/>
      <c r="J81" s="12"/>
      <c r="K81" s="12"/>
      <c r="L81" s="12"/>
      <c r="M81" s="57"/>
      <c r="N81" s="25"/>
      <c r="O81" s="12"/>
      <c r="P81" s="249"/>
      <c r="Q81" s="12"/>
      <c r="R81" s="12"/>
      <c r="S81" s="12"/>
      <c r="T81" s="57"/>
      <c r="U81" s="25"/>
      <c r="V81" s="25"/>
      <c r="W81" s="57"/>
      <c r="X81" s="12"/>
    </row>
    <row r="82" spans="1:24" x14ac:dyDescent="0.3">
      <c r="A82" s="14" t="s">
        <v>68</v>
      </c>
      <c r="B82" s="30">
        <f>SUM(C82:X82)</f>
        <v>0</v>
      </c>
      <c r="C82" s="25">
        <v>0</v>
      </c>
      <c r="D82" s="12">
        <v>0</v>
      </c>
      <c r="E82" s="12">
        <v>0</v>
      </c>
      <c r="F82" s="25">
        <v>0</v>
      </c>
      <c r="G82" s="57">
        <v>0</v>
      </c>
      <c r="H82" s="25">
        <v>0</v>
      </c>
      <c r="I82" s="12">
        <v>0</v>
      </c>
      <c r="J82" s="12">
        <v>0</v>
      </c>
      <c r="K82" s="12">
        <v>0</v>
      </c>
      <c r="L82" s="12">
        <v>0</v>
      </c>
      <c r="M82" s="57">
        <v>0</v>
      </c>
      <c r="N82" s="25">
        <v>0</v>
      </c>
      <c r="O82" s="12">
        <v>0</v>
      </c>
      <c r="P82" s="249">
        <v>0</v>
      </c>
      <c r="Q82" s="12">
        <v>0</v>
      </c>
      <c r="R82" s="12">
        <v>0</v>
      </c>
      <c r="S82" s="12">
        <v>0</v>
      </c>
      <c r="T82" s="57">
        <v>0</v>
      </c>
      <c r="U82" s="25">
        <v>0</v>
      </c>
      <c r="V82" s="25">
        <v>0</v>
      </c>
      <c r="W82" s="57">
        <v>0</v>
      </c>
      <c r="X82" s="12"/>
    </row>
    <row r="83" spans="1:24" x14ac:dyDescent="0.3">
      <c r="A83" s="14" t="s">
        <v>69</v>
      </c>
      <c r="B83" s="30">
        <f>SUM(C83:X83)</f>
        <v>-20214438.65574187</v>
      </c>
      <c r="C83" s="25">
        <f>C80-C82</f>
        <v>2301415.0116205518</v>
      </c>
      <c r="D83" s="12">
        <f t="shared" ref="D83:S83" si="65">D80-D82</f>
        <v>-709321.03929718887</v>
      </c>
      <c r="E83" s="12">
        <f t="shared" ref="E83" si="66">E80-E82</f>
        <v>-200634.08801904801</v>
      </c>
      <c r="F83" s="25">
        <f t="shared" si="65"/>
        <v>-3448843.3770982092</v>
      </c>
      <c r="G83" s="57">
        <f t="shared" si="65"/>
        <v>-3784629.670060379</v>
      </c>
      <c r="H83" s="25">
        <f t="shared" si="65"/>
        <v>0</v>
      </c>
      <c r="I83" s="12">
        <f t="shared" si="65"/>
        <v>0</v>
      </c>
      <c r="J83" s="12">
        <f t="shared" ref="J83:K83" si="67">J80-J82</f>
        <v>0</v>
      </c>
      <c r="K83" s="12">
        <f t="shared" si="67"/>
        <v>0</v>
      </c>
      <c r="L83" s="12">
        <f t="shared" si="65"/>
        <v>-1388</v>
      </c>
      <c r="M83" s="57">
        <f t="shared" si="65"/>
        <v>-79502.479819285945</v>
      </c>
      <c r="N83" s="25">
        <f t="shared" si="65"/>
        <v>-2780267.2533850749</v>
      </c>
      <c r="O83" s="12">
        <f t="shared" ref="O83" si="68">O80-O82</f>
        <v>-2800120.4478450012</v>
      </c>
      <c r="P83" s="249">
        <f t="shared" ref="P83:R83" si="69">P80-P82</f>
        <v>-6194982.885017924</v>
      </c>
      <c r="Q83" s="12">
        <f t="shared" si="69"/>
        <v>-1882727</v>
      </c>
      <c r="R83" s="12">
        <f t="shared" si="69"/>
        <v>0</v>
      </c>
      <c r="S83" s="12">
        <f t="shared" si="65"/>
        <v>-6818602.4474987164</v>
      </c>
      <c r="T83" s="57">
        <f t="shared" ref="T83:U83" si="70">T80-T82</f>
        <v>0</v>
      </c>
      <c r="U83" s="25">
        <f t="shared" si="70"/>
        <v>0</v>
      </c>
      <c r="V83" s="25">
        <f t="shared" ref="V83:W83" si="71">V80-V82</f>
        <v>6185165.0206784029</v>
      </c>
      <c r="W83" s="57">
        <f t="shared" si="71"/>
        <v>0</v>
      </c>
      <c r="X83" s="12"/>
    </row>
    <row r="84" spans="1:24" x14ac:dyDescent="0.3">
      <c r="A84" s="14"/>
      <c r="B84" s="30"/>
      <c r="C84" s="25"/>
      <c r="D84" s="12"/>
      <c r="E84" s="12"/>
      <c r="F84" s="25"/>
      <c r="G84" s="57"/>
      <c r="H84" s="25"/>
      <c r="I84" s="12"/>
      <c r="J84" s="12"/>
      <c r="K84" s="12"/>
      <c r="L84" s="12"/>
      <c r="M84" s="57"/>
      <c r="N84" s="25"/>
      <c r="O84" s="12"/>
      <c r="P84" s="249"/>
      <c r="Q84" s="12"/>
      <c r="R84" s="12"/>
      <c r="S84" s="12"/>
      <c r="T84" s="57"/>
      <c r="U84" s="25"/>
      <c r="V84" s="25"/>
      <c r="W84" s="57"/>
      <c r="X84" s="12"/>
    </row>
    <row r="85" spans="1:24" x14ac:dyDescent="0.3">
      <c r="A85" s="14" t="s">
        <v>79</v>
      </c>
      <c r="B85" s="30">
        <f>SUM(C85:X85)</f>
        <v>-4245032.1177057922</v>
      </c>
      <c r="C85" s="25">
        <f>C83*0.21</f>
        <v>483297.15244031587</v>
      </c>
      <c r="D85" s="12">
        <f t="shared" ref="D85:V85" si="72">D83*0.21</f>
        <v>-148957.41825240967</v>
      </c>
      <c r="E85" s="12">
        <f t="shared" ref="E85" si="73">E83*0.21</f>
        <v>-42133.15848400008</v>
      </c>
      <c r="F85" s="25">
        <f t="shared" si="72"/>
        <v>-724257.10919062386</v>
      </c>
      <c r="G85" s="57">
        <f t="shared" si="72"/>
        <v>-794772.23071267956</v>
      </c>
      <c r="H85" s="25">
        <f t="shared" si="72"/>
        <v>0</v>
      </c>
      <c r="I85" s="12">
        <f t="shared" si="72"/>
        <v>0</v>
      </c>
      <c r="J85" s="12">
        <f t="shared" si="72"/>
        <v>0</v>
      </c>
      <c r="K85" s="12">
        <f t="shared" si="72"/>
        <v>0</v>
      </c>
      <c r="L85" s="12">
        <f t="shared" si="72"/>
        <v>-291.47999999999996</v>
      </c>
      <c r="M85" s="57">
        <f t="shared" si="72"/>
        <v>-16695.520762050048</v>
      </c>
      <c r="N85" s="25">
        <f t="shared" si="72"/>
        <v>-583856.12321086565</v>
      </c>
      <c r="O85" s="12">
        <f t="shared" ref="O85" si="74">O83*0.21</f>
        <v>-588025.29404745018</v>
      </c>
      <c r="P85" s="249">
        <f t="shared" si="72"/>
        <v>-1300946.4058537639</v>
      </c>
      <c r="Q85" s="12">
        <f t="shared" si="72"/>
        <v>-395372.67</v>
      </c>
      <c r="R85" s="12">
        <f t="shared" si="72"/>
        <v>0</v>
      </c>
      <c r="S85" s="12">
        <f t="shared" si="72"/>
        <v>-1431906.5139747304</v>
      </c>
      <c r="T85" s="57">
        <f t="shared" ref="T85:U85" si="75">T83*0.21</f>
        <v>0</v>
      </c>
      <c r="U85" s="25">
        <f t="shared" si="75"/>
        <v>0</v>
      </c>
      <c r="V85" s="25">
        <f t="shared" si="72"/>
        <v>1298884.6543424646</v>
      </c>
      <c r="W85" s="57">
        <f t="shared" ref="W85" si="76">W83*0.21</f>
        <v>0</v>
      </c>
      <c r="X85" s="12"/>
    </row>
    <row r="86" spans="1:24" x14ac:dyDescent="0.3">
      <c r="A86" s="14" t="s">
        <v>126</v>
      </c>
      <c r="B86" s="30">
        <f>SUM(C86:X86)</f>
        <v>0</v>
      </c>
      <c r="C86" s="25"/>
      <c r="D86" s="12"/>
      <c r="E86" s="12"/>
      <c r="F86" s="25"/>
      <c r="G86" s="57"/>
      <c r="H86" s="25"/>
      <c r="I86" s="12"/>
      <c r="J86" s="12"/>
      <c r="K86" s="12"/>
      <c r="L86" s="12"/>
      <c r="M86" s="57"/>
      <c r="N86" s="25"/>
      <c r="O86" s="12"/>
      <c r="P86" s="249"/>
      <c r="Q86" s="12"/>
      <c r="R86" s="12"/>
      <c r="S86" s="12"/>
      <c r="T86" s="57"/>
      <c r="U86" s="25"/>
      <c r="V86" s="25"/>
      <c r="W86" s="57"/>
      <c r="X86" s="12"/>
    </row>
    <row r="87" spans="1:24" s="2" customFormat="1" ht="12.9" thickBot="1" x14ac:dyDescent="0.35">
      <c r="A87" s="14" t="s">
        <v>81</v>
      </c>
      <c r="B87" s="217">
        <f>SUM(C87:X87)</f>
        <v>-4245032.1177057922</v>
      </c>
      <c r="C87" s="218">
        <f>C85+C86</f>
        <v>483297.15244031587</v>
      </c>
      <c r="D87" s="219">
        <f t="shared" ref="D87:S87" si="77">D85+D86</f>
        <v>-148957.41825240967</v>
      </c>
      <c r="E87" s="219">
        <f t="shared" ref="E87" si="78">E85+E86</f>
        <v>-42133.15848400008</v>
      </c>
      <c r="F87" s="218">
        <f t="shared" si="77"/>
        <v>-724257.10919062386</v>
      </c>
      <c r="G87" s="220">
        <f t="shared" si="77"/>
        <v>-794772.23071267956</v>
      </c>
      <c r="H87" s="218">
        <f t="shared" si="77"/>
        <v>0</v>
      </c>
      <c r="I87" s="219">
        <f t="shared" si="77"/>
        <v>0</v>
      </c>
      <c r="J87" s="219">
        <f t="shared" ref="J87:K87" si="79">J85+J86</f>
        <v>0</v>
      </c>
      <c r="K87" s="219">
        <f t="shared" si="79"/>
        <v>0</v>
      </c>
      <c r="L87" s="219">
        <f t="shared" si="77"/>
        <v>-291.47999999999996</v>
      </c>
      <c r="M87" s="220">
        <f t="shared" si="77"/>
        <v>-16695.520762050048</v>
      </c>
      <c r="N87" s="218">
        <f t="shared" si="77"/>
        <v>-583856.12321086565</v>
      </c>
      <c r="O87" s="219">
        <f t="shared" ref="O87" si="80">O85+O86</f>
        <v>-588025.29404745018</v>
      </c>
      <c r="P87" s="261">
        <f t="shared" ref="P87:R87" si="81">P85+P86</f>
        <v>-1300946.4058537639</v>
      </c>
      <c r="Q87" s="219">
        <f t="shared" si="81"/>
        <v>-395372.67</v>
      </c>
      <c r="R87" s="219">
        <f t="shared" si="81"/>
        <v>0</v>
      </c>
      <c r="S87" s="219">
        <f t="shared" si="77"/>
        <v>-1431906.5139747304</v>
      </c>
      <c r="T87" s="220">
        <f t="shared" ref="T87:U87" si="82">T85+T86</f>
        <v>0</v>
      </c>
      <c r="U87" s="218">
        <f t="shared" si="82"/>
        <v>0</v>
      </c>
      <c r="V87" s="218">
        <f t="shared" ref="V87:W87" si="83">V85+V86</f>
        <v>1298884.6543424646</v>
      </c>
      <c r="W87" s="220">
        <f t="shared" si="83"/>
        <v>0</v>
      </c>
      <c r="X87" s="12"/>
    </row>
    <row r="88" spans="1:24" s="2" customFormat="1" x14ac:dyDescent="0.3">
      <c r="A88" s="14"/>
      <c r="B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62"/>
      <c r="Q88" s="13"/>
      <c r="R88" s="13"/>
      <c r="S88" s="13"/>
      <c r="T88" s="13"/>
      <c r="U88" s="13"/>
      <c r="V88" s="13"/>
      <c r="W88" s="13"/>
      <c r="X88" s="13"/>
    </row>
    <row r="89" spans="1:24" s="2" customFormat="1" x14ac:dyDescent="0.3">
      <c r="A89" s="14"/>
      <c r="B89" s="14"/>
      <c r="C89" s="243" t="s">
        <v>231</v>
      </c>
      <c r="D89" s="355" t="s">
        <v>232</v>
      </c>
      <c r="E89" s="243" t="s">
        <v>231</v>
      </c>
      <c r="F89" s="243" t="s">
        <v>231</v>
      </c>
      <c r="G89" s="243" t="s">
        <v>231</v>
      </c>
      <c r="H89" s="243" t="s">
        <v>231</v>
      </c>
      <c r="I89" s="243" t="s">
        <v>231</v>
      </c>
      <c r="J89" s="243" t="s">
        <v>231</v>
      </c>
      <c r="K89" s="14"/>
      <c r="L89" s="355" t="s">
        <v>232</v>
      </c>
      <c r="M89" s="355" t="s">
        <v>232</v>
      </c>
      <c r="N89" s="243" t="s">
        <v>231</v>
      </c>
      <c r="O89" s="243" t="s">
        <v>231</v>
      </c>
      <c r="P89" s="263" t="s">
        <v>231</v>
      </c>
      <c r="Q89" s="263" t="s">
        <v>231</v>
      </c>
      <c r="R89" s="263" t="s">
        <v>231</v>
      </c>
      <c r="S89" s="243" t="s">
        <v>231</v>
      </c>
      <c r="T89" s="243" t="s">
        <v>231</v>
      </c>
      <c r="U89" s="243" t="s">
        <v>231</v>
      </c>
      <c r="V89" s="243" t="s">
        <v>231</v>
      </c>
      <c r="W89" s="243" t="s">
        <v>231</v>
      </c>
      <c r="X89" s="14"/>
    </row>
    <row r="90" spans="1:24" s="2" customFormat="1" x14ac:dyDescent="0.3">
      <c r="A90" s="19"/>
      <c r="B90" s="12"/>
      <c r="D90" s="243" t="s">
        <v>231</v>
      </c>
      <c r="F90" s="243"/>
      <c r="K90" s="243" t="s">
        <v>231</v>
      </c>
      <c r="L90" s="243" t="s">
        <v>231</v>
      </c>
      <c r="M90" s="243" t="s">
        <v>231</v>
      </c>
      <c r="T90" s="12"/>
      <c r="U90" s="12"/>
      <c r="V90" s="12"/>
      <c r="W90" s="12"/>
      <c r="X90" s="12"/>
    </row>
    <row r="91" spans="1:24" s="2" customFormat="1" x14ac:dyDescent="0.3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264"/>
      <c r="Q91" s="12"/>
      <c r="R91" s="12"/>
      <c r="S91" s="12"/>
      <c r="T91" s="12"/>
      <c r="U91" s="12"/>
      <c r="V91" s="12"/>
      <c r="W91" s="12"/>
      <c r="X91" s="12"/>
    </row>
    <row r="92" spans="1:24" s="2" customFormat="1" x14ac:dyDescent="0.3">
      <c r="A92" s="14"/>
      <c r="C92" s="134"/>
      <c r="P92" s="244"/>
    </row>
    <row r="93" spans="1:24" s="2" customFormat="1" x14ac:dyDescent="0.3">
      <c r="A93" s="114"/>
      <c r="P93" s="244"/>
    </row>
  </sheetData>
  <mergeCells count="6">
    <mergeCell ref="H7:M7"/>
    <mergeCell ref="N7:O7"/>
    <mergeCell ref="V7:W7"/>
    <mergeCell ref="P7:T7"/>
    <mergeCell ref="C7:E7"/>
    <mergeCell ref="F7:G7"/>
  </mergeCells>
  <phoneticPr fontId="3" type="noConversion"/>
  <pageMargins left="0.5" right="0.5" top="0.75" bottom="0.25" header="0.25" footer="0.5"/>
  <pageSetup scale="68" firstPageNumber="2" fitToWidth="0" orientation="portrait" r:id="rId1"/>
  <headerFooter alignWithMargins="0">
    <oddHeader>&amp;RExh. JH-3
Dockets UE-230172
UE-210852
Page &amp;P of &amp;N</oddHead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C000"/>
    <pageSetUpPr fitToPage="1"/>
  </sheetPr>
  <dimension ref="B1:J37"/>
  <sheetViews>
    <sheetView showOutlineSymbols="0" workbookViewId="0">
      <selection activeCell="E13" sqref="E13"/>
    </sheetView>
  </sheetViews>
  <sheetFormatPr defaultColWidth="9.15234375" defaultRowHeight="12.45" x14ac:dyDescent="0.3"/>
  <cols>
    <col min="1" max="1" width="3.84375" style="19" customWidth="1"/>
    <col min="2" max="4" width="15.69140625" style="19" customWidth="1"/>
    <col min="5" max="5" width="13.4609375" style="19" bestFit="1" customWidth="1"/>
    <col min="6" max="16384" width="9.15234375" style="19"/>
  </cols>
  <sheetData>
    <row r="1" spans="2:8" x14ac:dyDescent="0.3">
      <c r="B1" s="23" t="s">
        <v>5</v>
      </c>
      <c r="H1" s="224"/>
    </row>
    <row r="2" spans="2:8" x14ac:dyDescent="0.3">
      <c r="B2" s="23" t="s">
        <v>125</v>
      </c>
    </row>
    <row r="3" spans="2:8" x14ac:dyDescent="0.3">
      <c r="B3" s="23" t="s">
        <v>254</v>
      </c>
    </row>
    <row r="4" spans="2:8" x14ac:dyDescent="0.3">
      <c r="B4" s="23" t="s">
        <v>255</v>
      </c>
    </row>
    <row r="5" spans="2:8" x14ac:dyDescent="0.3">
      <c r="B5" s="23"/>
    </row>
    <row r="7" spans="2:8" x14ac:dyDescent="0.3">
      <c r="B7" s="23" t="s">
        <v>200</v>
      </c>
      <c r="C7" s="41"/>
      <c r="D7" s="41"/>
      <c r="E7" s="41"/>
    </row>
    <row r="8" spans="2:8" s="40" customFormat="1" x14ac:dyDescent="0.3">
      <c r="B8" s="36"/>
      <c r="C8" s="36" t="s">
        <v>0</v>
      </c>
      <c r="D8" s="37" t="s">
        <v>1</v>
      </c>
      <c r="E8" s="36" t="s">
        <v>2</v>
      </c>
      <c r="G8" s="202"/>
    </row>
    <row r="9" spans="2:8" s="40" customFormat="1" x14ac:dyDescent="0.3">
      <c r="B9" s="38" t="s">
        <v>233</v>
      </c>
      <c r="C9" s="133">
        <v>7.6E-3</v>
      </c>
      <c r="D9" s="134">
        <v>3.9E-2</v>
      </c>
      <c r="E9" s="190">
        <f>C9*D9</f>
        <v>2.9639999999999999E-4</v>
      </c>
      <c r="G9" s="202"/>
    </row>
    <row r="10" spans="2:8" x14ac:dyDescent="0.3">
      <c r="B10" s="38" t="s">
        <v>234</v>
      </c>
      <c r="C10" s="133">
        <v>0.50129999999999997</v>
      </c>
      <c r="D10" s="134">
        <v>4.7699999999999999E-2</v>
      </c>
      <c r="E10" s="190">
        <f>C10*D10</f>
        <v>2.3912009999999997E-2</v>
      </c>
    </row>
    <row r="11" spans="2:8" x14ac:dyDescent="0.3">
      <c r="B11" s="38" t="s">
        <v>3</v>
      </c>
      <c r="C11" s="133">
        <v>1E-4</v>
      </c>
      <c r="D11" s="134">
        <v>6.7500000000000004E-2</v>
      </c>
      <c r="E11" s="190">
        <f>C11*D11</f>
        <v>6.7500000000000006E-6</v>
      </c>
    </row>
    <row r="12" spans="2:8" x14ac:dyDescent="0.3">
      <c r="B12" s="39" t="s">
        <v>4</v>
      </c>
      <c r="C12" s="135">
        <f>1-(SUM(C9:C11))</f>
        <v>0.49099999999999999</v>
      </c>
      <c r="D12" s="136">
        <v>9.5000000000000001E-2</v>
      </c>
      <c r="E12" s="191">
        <f>C12*D12</f>
        <v>4.6644999999999999E-2</v>
      </c>
    </row>
    <row r="13" spans="2:8" x14ac:dyDescent="0.3">
      <c r="E13" s="192">
        <f>SUM(E9:E12)</f>
        <v>7.0860159999999991E-2</v>
      </c>
    </row>
    <row r="18" spans="2:10" x14ac:dyDescent="0.3">
      <c r="B18" s="227" t="s">
        <v>221</v>
      </c>
      <c r="C18" s="228"/>
      <c r="D18" s="228"/>
      <c r="E18" s="228"/>
    </row>
    <row r="19" spans="2:10" x14ac:dyDescent="0.3">
      <c r="B19" s="19" t="s">
        <v>61</v>
      </c>
      <c r="D19" s="31">
        <v>1</v>
      </c>
    </row>
    <row r="20" spans="2:10" x14ac:dyDescent="0.3">
      <c r="D20" s="31"/>
      <c r="I20" s="134"/>
      <c r="J20" s="134"/>
    </row>
    <row r="21" spans="2:10" x14ac:dyDescent="0.3">
      <c r="B21" s="19" t="s">
        <v>84</v>
      </c>
      <c r="D21" s="31"/>
      <c r="I21" s="134"/>
      <c r="J21" s="134"/>
    </row>
    <row r="22" spans="2:10" x14ac:dyDescent="0.3">
      <c r="B22" s="19" t="s">
        <v>85</v>
      </c>
      <c r="D22" s="137">
        <v>5.5958046338404543E-3</v>
      </c>
      <c r="F22" s="47"/>
      <c r="I22" s="134"/>
      <c r="J22" s="134"/>
    </row>
    <row r="23" spans="2:10" x14ac:dyDescent="0.3">
      <c r="B23" s="19" t="s">
        <v>83</v>
      </c>
      <c r="D23" s="137">
        <v>4.0000000000000001E-3</v>
      </c>
    </row>
    <row r="24" spans="2:10" x14ac:dyDescent="0.3">
      <c r="B24" s="19" t="s">
        <v>123</v>
      </c>
      <c r="D24" s="137">
        <v>3.8733999999999998E-2</v>
      </c>
    </row>
    <row r="25" spans="2:10" x14ac:dyDescent="0.3">
      <c r="B25" s="19" t="s">
        <v>86</v>
      </c>
      <c r="D25" s="137">
        <v>0</v>
      </c>
    </row>
    <row r="26" spans="2:10" x14ac:dyDescent="0.3">
      <c r="B26" s="19" t="s">
        <v>87</v>
      </c>
      <c r="D26" s="136">
        <v>0</v>
      </c>
    </row>
    <row r="27" spans="2:10" x14ac:dyDescent="0.3">
      <c r="D27" s="31"/>
    </row>
    <row r="28" spans="2:10" x14ac:dyDescent="0.3">
      <c r="B28" s="19" t="s">
        <v>88</v>
      </c>
      <c r="D28" s="43">
        <f>D19-SUM(D21:D26)</f>
        <v>0.95167019536615949</v>
      </c>
    </row>
    <row r="29" spans="2:10" x14ac:dyDescent="0.3">
      <c r="D29" s="31"/>
    </row>
    <row r="30" spans="2:10" x14ac:dyDescent="0.3">
      <c r="B30" s="19" t="s">
        <v>90</v>
      </c>
      <c r="D30" s="32">
        <v>0</v>
      </c>
    </row>
    <row r="31" spans="2:10" x14ac:dyDescent="0.3">
      <c r="D31" s="31"/>
    </row>
    <row r="32" spans="2:10" x14ac:dyDescent="0.3">
      <c r="B32" s="19" t="s">
        <v>88</v>
      </c>
      <c r="D32" s="43">
        <f>D28-D30</f>
        <v>0.95167019536615949</v>
      </c>
    </row>
    <row r="33" spans="2:4" x14ac:dyDescent="0.3">
      <c r="D33" s="31"/>
    </row>
    <row r="34" spans="2:4" x14ac:dyDescent="0.3">
      <c r="B34" s="19" t="s">
        <v>124</v>
      </c>
      <c r="D34" s="32">
        <f>D32*0.21</f>
        <v>0.19985074102689349</v>
      </c>
    </row>
    <row r="35" spans="2:4" x14ac:dyDescent="0.3">
      <c r="D35" s="44"/>
    </row>
    <row r="36" spans="2:4" ht="12.9" thickBot="1" x14ac:dyDescent="0.35">
      <c r="B36" s="19" t="s">
        <v>89</v>
      </c>
      <c r="D36" s="45">
        <f>ROUND(D32-D34,5)</f>
        <v>0.75182000000000004</v>
      </c>
    </row>
    <row r="37" spans="2:4" ht="12.9" thickTop="1" x14ac:dyDescent="0.3">
      <c r="D37" s="46"/>
    </row>
  </sheetData>
  <phoneticPr fontId="3" type="noConversion"/>
  <pageMargins left="0.5" right="0.5" top="0.5" bottom="0.5" header="0.35" footer="0.5"/>
  <pageSetup orientation="portrait" r:id="rId1"/>
  <headerFooter alignWithMargins="0">
    <oddHeader>&amp;RExh. JH-3
Dockets UE-230172
UE-210852
Page &amp;P of 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showOutlineSymbols="0" workbookViewId="0">
      <selection activeCell="M93" sqref="M93"/>
    </sheetView>
  </sheetViews>
  <sheetFormatPr defaultColWidth="9.15234375" defaultRowHeight="12.45" x14ac:dyDescent="0.3"/>
  <cols>
    <col min="1" max="1" width="3.15234375" style="19" customWidth="1"/>
    <col min="2" max="2" width="42.23046875" style="19" customWidth="1"/>
    <col min="3" max="3" width="16.23046875" style="19" customWidth="1"/>
    <col min="4" max="4" width="26.23046875" style="19" customWidth="1"/>
    <col min="5" max="5" width="14" style="19" bestFit="1" customWidth="1"/>
    <col min="6" max="16384" width="9.15234375" style="19"/>
  </cols>
  <sheetData>
    <row r="1" spans="2:4" x14ac:dyDescent="0.3">
      <c r="B1" s="23" t="s">
        <v>5</v>
      </c>
    </row>
    <row r="2" spans="2:4" x14ac:dyDescent="0.3">
      <c r="B2" s="23" t="str">
        <f>Summary!A2</f>
        <v>Washington 2023 General Rate Case</v>
      </c>
    </row>
    <row r="3" spans="2:4" x14ac:dyDescent="0.3">
      <c r="B3" s="23" t="s">
        <v>163</v>
      </c>
    </row>
    <row r="5" spans="2:4" x14ac:dyDescent="0.3">
      <c r="B5" s="24" t="s">
        <v>158</v>
      </c>
      <c r="D5" s="48" t="s">
        <v>93</v>
      </c>
    </row>
    <row r="6" spans="2:4" x14ac:dyDescent="0.3">
      <c r="B6" s="19" t="s">
        <v>164</v>
      </c>
      <c r="C6" s="3">
        <f>Summary!B74</f>
        <v>26522750.959160943</v>
      </c>
      <c r="D6" s="180" t="s">
        <v>222</v>
      </c>
    </row>
    <row r="7" spans="2:4" x14ac:dyDescent="0.3">
      <c r="D7" s="168"/>
    </row>
    <row r="8" spans="2:4" x14ac:dyDescent="0.3">
      <c r="D8" s="168"/>
    </row>
    <row r="9" spans="2:4" x14ac:dyDescent="0.3">
      <c r="B9" s="24" t="s">
        <v>159</v>
      </c>
      <c r="D9" s="168"/>
    </row>
    <row r="10" spans="2:4" x14ac:dyDescent="0.3">
      <c r="B10" s="19" t="s">
        <v>76</v>
      </c>
      <c r="C10" s="3">
        <f>Summary!J64</f>
        <v>1351502797.7541223</v>
      </c>
      <c r="D10" s="180" t="s">
        <v>199</v>
      </c>
    </row>
    <row r="11" spans="2:4" x14ac:dyDescent="0.3">
      <c r="B11" s="19" t="s">
        <v>77</v>
      </c>
      <c r="C11" s="44">
        <f>+('ROR &amp; Conversion Factor'!E9+Weighted_cost_debt)</f>
        <v>2.4208409999999996E-2</v>
      </c>
      <c r="D11" s="19" t="s">
        <v>201</v>
      </c>
    </row>
    <row r="12" spans="2:4" x14ac:dyDescent="0.3">
      <c r="B12" s="19" t="s">
        <v>78</v>
      </c>
      <c r="C12" s="3">
        <f>C10*C11</f>
        <v>32717733.844178867</v>
      </c>
      <c r="D12" s="180" t="s">
        <v>199</v>
      </c>
    </row>
    <row r="14" spans="2:4" x14ac:dyDescent="0.3">
      <c r="B14" s="19" t="s">
        <v>75</v>
      </c>
      <c r="C14" s="3">
        <f>Summary!B74</f>
        <v>26522750.959160943</v>
      </c>
      <c r="D14" s="19" t="s">
        <v>92</v>
      </c>
    </row>
    <row r="15" spans="2:4" x14ac:dyDescent="0.3">
      <c r="D15" s="168"/>
    </row>
    <row r="16" spans="2:4" x14ac:dyDescent="0.3">
      <c r="B16" s="19" t="s">
        <v>160</v>
      </c>
      <c r="C16" s="3">
        <f>C12-C14</f>
        <v>6194982.885017924</v>
      </c>
      <c r="D16" s="19" t="s">
        <v>223</v>
      </c>
    </row>
    <row r="17" spans="2:4" x14ac:dyDescent="0.3">
      <c r="D17" s="168"/>
    </row>
    <row r="18" spans="2:4" x14ac:dyDescent="0.3">
      <c r="D18" s="168"/>
    </row>
    <row r="19" spans="2:4" x14ac:dyDescent="0.3">
      <c r="B19" s="23"/>
      <c r="D19" s="168"/>
    </row>
    <row r="20" spans="2:4" x14ac:dyDescent="0.3">
      <c r="C20" s="187"/>
      <c r="D20" s="180"/>
    </row>
    <row r="21" spans="2:4" x14ac:dyDescent="0.3">
      <c r="C21" s="188"/>
    </row>
    <row r="22" spans="2:4" x14ac:dyDescent="0.3">
      <c r="C22" s="187"/>
      <c r="D22" s="180"/>
    </row>
    <row r="24" spans="2:4" x14ac:dyDescent="0.3">
      <c r="C24" s="187"/>
      <c r="D24" s="180"/>
    </row>
    <row r="25" spans="2:4" x14ac:dyDescent="0.3">
      <c r="D25" s="168"/>
    </row>
    <row r="26" spans="2:4" x14ac:dyDescent="0.3">
      <c r="C26" s="187"/>
    </row>
    <row r="27" spans="2:4" x14ac:dyDescent="0.3">
      <c r="D27" s="168"/>
    </row>
    <row r="28" spans="2:4" x14ac:dyDescent="0.3">
      <c r="D28" s="168"/>
    </row>
    <row r="29" spans="2:4" x14ac:dyDescent="0.3">
      <c r="D29" s="168"/>
    </row>
    <row r="30" spans="2:4" x14ac:dyDescent="0.3">
      <c r="D30" s="168"/>
    </row>
    <row r="31" spans="2:4" x14ac:dyDescent="0.3">
      <c r="D31" s="168"/>
    </row>
  </sheetData>
  <pageMargins left="0.7" right="0.7" top="0.75" bottom="0.75" header="0.3" footer="0.3"/>
  <pageSetup orientation="portrait" r:id="rId1"/>
  <headerFooter>
    <oddHeader>&amp;RExh. JH-4
Dockets UE-230172
UE-210852
Page 2 of 2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B627-1A0D-479C-B506-E799EE95726F}">
  <sheetPr>
    <pageSetUpPr fitToPage="1"/>
  </sheetPr>
  <dimension ref="A1:AI101"/>
  <sheetViews>
    <sheetView zoomScale="75" zoomScaleNormal="75" workbookViewId="0">
      <selection activeCell="P14" sqref="P14"/>
    </sheetView>
  </sheetViews>
  <sheetFormatPr defaultColWidth="9.15234375" defaultRowHeight="12.9" x14ac:dyDescent="0.35"/>
  <cols>
    <col min="1" max="1" width="10.4609375" style="347" customWidth="1"/>
    <col min="2" max="2" width="61.84375" style="271" customWidth="1"/>
    <col min="3" max="3" width="1.765625" style="269" customWidth="1"/>
    <col min="4" max="4" width="2.3828125" style="269" customWidth="1"/>
    <col min="5" max="5" width="12" style="290" customWidth="1"/>
    <col min="6" max="6" width="17.3828125" style="290" customWidth="1"/>
    <col min="7" max="7" width="14.3828125" style="269" customWidth="1"/>
    <col min="8" max="8" width="14.07421875" style="290" customWidth="1"/>
    <col min="9" max="9" width="18" style="290" customWidth="1"/>
    <col min="10" max="10" width="17.07421875" style="269" customWidth="1"/>
    <col min="11" max="11" width="22.4609375" style="269" customWidth="1"/>
    <col min="12" max="12" width="17.23046875" style="269" customWidth="1"/>
    <col min="13" max="13" width="15.4609375" style="268" customWidth="1"/>
    <col min="14" max="14" width="7.4609375" style="269" bestFit="1" customWidth="1"/>
    <col min="15" max="15" width="9.15234375" style="269"/>
    <col min="16" max="16" width="40.53515625" style="269" customWidth="1"/>
    <col min="17" max="17" width="9.84375" style="269" bestFit="1" customWidth="1"/>
    <col min="18" max="16384" width="9.15234375" style="269"/>
  </cols>
  <sheetData>
    <row r="1" spans="1:35" ht="18" customHeight="1" x14ac:dyDescent="0.4">
      <c r="A1" s="265" t="s">
        <v>236</v>
      </c>
      <c r="B1" s="266"/>
      <c r="C1" s="265"/>
      <c r="D1" s="265"/>
      <c r="E1" s="267"/>
      <c r="F1" s="267"/>
      <c r="G1" s="265"/>
      <c r="H1" s="267"/>
      <c r="I1" s="267"/>
      <c r="J1" s="265"/>
      <c r="K1" s="265"/>
      <c r="L1" s="265"/>
    </row>
    <row r="2" spans="1:35" ht="21.75" customHeight="1" x14ac:dyDescent="0.4">
      <c r="A2" s="265" t="s">
        <v>237</v>
      </c>
      <c r="B2" s="266"/>
      <c r="C2" s="265"/>
      <c r="D2" s="265"/>
      <c r="E2" s="267"/>
      <c r="F2" s="267"/>
      <c r="G2" s="265"/>
      <c r="H2" s="267"/>
      <c r="I2" s="267"/>
      <c r="J2" s="265"/>
      <c r="K2" s="265"/>
      <c r="L2" s="265"/>
    </row>
    <row r="3" spans="1:35" ht="15.75" customHeight="1" x14ac:dyDescent="0.4">
      <c r="A3" s="265" t="s">
        <v>238</v>
      </c>
      <c r="B3" s="266"/>
      <c r="C3" s="265"/>
      <c r="D3" s="265"/>
      <c r="E3" s="267"/>
      <c r="F3" s="267"/>
      <c r="G3" s="265"/>
      <c r="H3" s="267"/>
      <c r="I3" s="267"/>
      <c r="J3" s="265"/>
      <c r="K3" s="265"/>
      <c r="L3" s="265"/>
    </row>
    <row r="4" spans="1:35" ht="15.75" customHeight="1" x14ac:dyDescent="0.4">
      <c r="A4" s="265" t="s">
        <v>239</v>
      </c>
      <c r="B4" s="266"/>
      <c r="C4" s="265"/>
      <c r="D4" s="265"/>
      <c r="E4" s="267"/>
      <c r="F4" s="267"/>
      <c r="G4" s="265"/>
      <c r="H4" s="267"/>
      <c r="I4" s="267"/>
      <c r="J4" s="265"/>
      <c r="K4" s="265"/>
      <c r="L4" s="265"/>
    </row>
    <row r="5" spans="1:35" ht="15.55" customHeight="1" x14ac:dyDescent="0.35">
      <c r="A5" s="270"/>
      <c r="C5" s="270"/>
      <c r="D5" s="270"/>
      <c r="E5" s="272"/>
      <c r="F5" s="272"/>
      <c r="G5" s="270"/>
      <c r="H5" s="272"/>
      <c r="I5" s="272"/>
      <c r="J5" s="270"/>
      <c r="K5" s="270"/>
      <c r="L5" s="270"/>
      <c r="M5" s="273"/>
    </row>
    <row r="6" spans="1:35" ht="15.55" customHeight="1" x14ac:dyDescent="0.4">
      <c r="A6" s="274"/>
      <c r="B6" s="275"/>
      <c r="C6" s="276"/>
      <c r="D6" s="277"/>
      <c r="E6" s="278"/>
      <c r="F6" s="279" t="s">
        <v>5</v>
      </c>
      <c r="G6" s="280"/>
      <c r="H6" s="281"/>
      <c r="I6" s="282" t="s">
        <v>240</v>
      </c>
      <c r="J6" s="283"/>
      <c r="K6" s="284" t="s">
        <v>240</v>
      </c>
      <c r="L6" s="285"/>
    </row>
    <row r="7" spans="1:35" ht="15.55" customHeight="1" x14ac:dyDescent="0.4">
      <c r="A7" s="286"/>
      <c r="C7" s="287"/>
      <c r="D7" s="288"/>
      <c r="E7" s="289"/>
      <c r="G7" s="291" t="s">
        <v>241</v>
      </c>
      <c r="H7" s="289"/>
      <c r="J7" s="291" t="s">
        <v>241</v>
      </c>
      <c r="K7" s="292" t="s">
        <v>241</v>
      </c>
      <c r="L7" s="293"/>
    </row>
    <row r="8" spans="1:35" ht="15.55" customHeight="1" x14ac:dyDescent="0.4">
      <c r="A8" s="286"/>
      <c r="C8" s="287"/>
      <c r="D8" s="288"/>
      <c r="E8" s="294"/>
      <c r="F8" s="295"/>
      <c r="G8" s="291" t="s">
        <v>242</v>
      </c>
      <c r="H8" s="294"/>
      <c r="I8" s="295"/>
      <c r="J8" s="291" t="s">
        <v>242</v>
      </c>
      <c r="K8" s="292" t="s">
        <v>256</v>
      </c>
      <c r="L8" s="296" t="s">
        <v>243</v>
      </c>
    </row>
    <row r="9" spans="1:35" ht="32.15" customHeight="1" x14ac:dyDescent="0.4">
      <c r="A9" s="297" t="s">
        <v>244</v>
      </c>
      <c r="B9" s="298" t="s">
        <v>245</v>
      </c>
      <c r="C9" s="299"/>
      <c r="D9" s="300"/>
      <c r="E9" s="301" t="s">
        <v>246</v>
      </c>
      <c r="F9" s="302" t="s">
        <v>104</v>
      </c>
      <c r="G9" s="303">
        <v>7.5999999999999998E-2</v>
      </c>
      <c r="H9" s="301" t="s">
        <v>246</v>
      </c>
      <c r="I9" s="302" t="s">
        <v>104</v>
      </c>
      <c r="J9" s="354">
        <v>7.0860159999999991E-2</v>
      </c>
      <c r="K9" s="304">
        <v>7.0900000000000005E-2</v>
      </c>
      <c r="L9" s="305"/>
      <c r="O9" s="70"/>
      <c r="P9" s="70"/>
      <c r="Q9" s="70"/>
      <c r="R9" s="70"/>
      <c r="S9" s="70"/>
      <c r="T9" s="70"/>
      <c r="U9" s="70"/>
      <c r="V9" s="70"/>
      <c r="W9" s="70"/>
      <c r="X9" s="70"/>
      <c r="Y9" s="69"/>
      <c r="Z9" s="68"/>
      <c r="AA9" s="70"/>
      <c r="AB9" s="247"/>
      <c r="AC9" s="70"/>
      <c r="AD9" s="70"/>
      <c r="AE9" s="70"/>
      <c r="AF9" s="69"/>
      <c r="AG9" s="68"/>
      <c r="AH9" s="68"/>
      <c r="AI9" s="69"/>
    </row>
    <row r="10" spans="1:35" ht="19.75" customHeight="1" x14ac:dyDescent="0.35">
      <c r="A10" s="270"/>
      <c r="B10" s="306" t="s">
        <v>252</v>
      </c>
      <c r="C10" s="307"/>
      <c r="D10" s="308"/>
      <c r="E10" s="309">
        <v>83632235.745591104</v>
      </c>
      <c r="F10" s="310">
        <v>1100424346.7003789</v>
      </c>
      <c r="G10" s="311">
        <f>ROUND(((-+E10+F10*7.6%))/0.75182,0)</f>
        <v>19</v>
      </c>
      <c r="H10" s="312">
        <v>77661411.451939702</v>
      </c>
      <c r="I10" s="312">
        <v>1095981444.5934274</v>
      </c>
      <c r="J10" s="311">
        <f>ROUND(((-+H10+I10*$J$9))/0.75182,0)</f>
        <v>12</v>
      </c>
      <c r="K10" s="311">
        <f>ROUND(((-+H10+I10*$K$9))/0.75182,0)</f>
        <v>58090</v>
      </c>
      <c r="L10" s="313">
        <f t="shared" ref="L10:L31" si="0">+K10-G10</f>
        <v>58071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314"/>
      <c r="AC10" s="70"/>
      <c r="AD10" s="70"/>
      <c r="AE10" s="70"/>
      <c r="AF10" s="70"/>
      <c r="AG10" s="70"/>
      <c r="AH10" s="70"/>
      <c r="AI10" s="70"/>
    </row>
    <row r="11" spans="1:35" ht="15.55" customHeight="1" x14ac:dyDescent="0.35">
      <c r="A11" s="54" t="s">
        <v>127</v>
      </c>
      <c r="B11" s="315" t="s">
        <v>247</v>
      </c>
      <c r="C11" s="287"/>
      <c r="E11" s="316">
        <v>1818117.859180236</v>
      </c>
      <c r="F11" s="316">
        <v>0</v>
      </c>
      <c r="G11" s="311">
        <f>ROUND(((-+E11+F11*7.6%))/0.75182,0)</f>
        <v>-2418289</v>
      </c>
      <c r="H11" s="316">
        <v>1818117.859180236</v>
      </c>
      <c r="I11" s="316">
        <v>0</v>
      </c>
      <c r="J11" s="311">
        <f t="shared" ref="J11:J31" si="1">ROUND(((-+H11+I11*$J$9))/0.75182,0)</f>
        <v>-2418289</v>
      </c>
      <c r="K11" s="311">
        <f t="shared" ref="K11:K31" si="2">ROUND(((-+H11+I11*$K$9))/0.75182,0)</f>
        <v>-2418289</v>
      </c>
      <c r="L11" s="313">
        <f t="shared" si="0"/>
        <v>0</v>
      </c>
    </row>
    <row r="12" spans="1:35" ht="15.55" customHeight="1" x14ac:dyDescent="0.35">
      <c r="A12" s="54" t="s">
        <v>128</v>
      </c>
      <c r="B12" s="315" t="s">
        <v>248</v>
      </c>
      <c r="C12" s="287"/>
      <c r="E12" s="316">
        <v>-475808.29096355272</v>
      </c>
      <c r="F12" s="316">
        <v>0</v>
      </c>
      <c r="G12" s="311">
        <f t="shared" ref="G12:G31" si="3">ROUND(((-+E12+F12*7.6%))/0.75182,0)</f>
        <v>632875</v>
      </c>
      <c r="H12" s="316">
        <v>-560340.48482475569</v>
      </c>
      <c r="I12" s="316">
        <v>0</v>
      </c>
      <c r="J12" s="311">
        <f t="shared" si="1"/>
        <v>745312</v>
      </c>
      <c r="K12" s="311">
        <f t="shared" si="2"/>
        <v>745312</v>
      </c>
      <c r="L12" s="313">
        <f t="shared" si="0"/>
        <v>112437</v>
      </c>
    </row>
    <row r="13" spans="1:35" ht="15.55" customHeight="1" x14ac:dyDescent="0.35">
      <c r="A13" s="54" t="s">
        <v>169</v>
      </c>
      <c r="B13" s="315" t="s">
        <v>165</v>
      </c>
      <c r="C13" s="287"/>
      <c r="E13" s="316">
        <v>-158500.92953504794</v>
      </c>
      <c r="F13" s="316">
        <v>0</v>
      </c>
      <c r="G13" s="311">
        <f t="shared" si="3"/>
        <v>210823</v>
      </c>
      <c r="H13" s="316">
        <v>-158500.92953504794</v>
      </c>
      <c r="I13" s="316">
        <v>0</v>
      </c>
      <c r="J13" s="311">
        <f t="shared" si="1"/>
        <v>210823</v>
      </c>
      <c r="K13" s="311">
        <f t="shared" si="2"/>
        <v>210823</v>
      </c>
      <c r="L13" s="313">
        <f t="shared" si="0"/>
        <v>0</v>
      </c>
    </row>
    <row r="14" spans="1:35" ht="15.55" customHeight="1" x14ac:dyDescent="0.35">
      <c r="A14" s="54" t="s">
        <v>131</v>
      </c>
      <c r="B14" s="315" t="s">
        <v>132</v>
      </c>
      <c r="C14" s="317"/>
      <c r="D14" s="317"/>
      <c r="E14" s="316">
        <v>-123696.40812281473</v>
      </c>
      <c r="F14" s="316">
        <v>112345973.80883749</v>
      </c>
      <c r="G14" s="311">
        <f t="shared" si="3"/>
        <v>11521362</v>
      </c>
      <c r="H14" s="316">
        <v>-123696.40812281473</v>
      </c>
      <c r="I14" s="316">
        <v>112345973.80883749</v>
      </c>
      <c r="J14" s="311">
        <f t="shared" si="1"/>
        <v>10753305</v>
      </c>
      <c r="K14" s="311">
        <f t="shared" si="2"/>
        <v>10759259</v>
      </c>
      <c r="L14" s="313">
        <f t="shared" si="0"/>
        <v>-762103</v>
      </c>
      <c r="M14" s="318"/>
      <c r="Q14" s="319"/>
    </row>
    <row r="15" spans="1:35" ht="15.55" customHeight="1" x14ac:dyDescent="0.35">
      <c r="A15" s="54" t="s">
        <v>135</v>
      </c>
      <c r="B15" s="320" t="s">
        <v>134</v>
      </c>
      <c r="C15" s="287"/>
      <c r="E15" s="316">
        <v>-2989857.4393476993</v>
      </c>
      <c r="F15" s="316">
        <v>0</v>
      </c>
      <c r="G15" s="311">
        <f t="shared" si="3"/>
        <v>3976826</v>
      </c>
      <c r="H15" s="316">
        <v>-2989857.4393476993</v>
      </c>
      <c r="I15" s="316">
        <v>0</v>
      </c>
      <c r="J15" s="311">
        <f t="shared" si="1"/>
        <v>3976826</v>
      </c>
      <c r="K15" s="311">
        <f t="shared" si="2"/>
        <v>3976826</v>
      </c>
      <c r="L15" s="313">
        <f t="shared" si="0"/>
        <v>0</v>
      </c>
      <c r="M15" s="318"/>
      <c r="Q15" s="319"/>
    </row>
    <row r="16" spans="1:35" ht="15.55" customHeight="1" x14ac:dyDescent="0.35">
      <c r="A16" s="54" t="s">
        <v>136</v>
      </c>
      <c r="B16" s="315" t="s">
        <v>133</v>
      </c>
      <c r="E16" s="316">
        <v>0</v>
      </c>
      <c r="F16" s="316">
        <v>-47426374.488113694</v>
      </c>
      <c r="G16" s="311">
        <f t="shared" si="3"/>
        <v>-4794239</v>
      </c>
      <c r="H16" s="316">
        <v>0</v>
      </c>
      <c r="I16" s="316">
        <v>-47426374.488113694</v>
      </c>
      <c r="J16" s="311">
        <f t="shared" si="1"/>
        <v>-4470007</v>
      </c>
      <c r="K16" s="311">
        <f t="shared" si="2"/>
        <v>-4472520</v>
      </c>
      <c r="L16" s="313">
        <f t="shared" si="0"/>
        <v>321719</v>
      </c>
    </row>
    <row r="17" spans="1:17" ht="15.55" customHeight="1" x14ac:dyDescent="0.35">
      <c r="A17" s="54" t="s">
        <v>137</v>
      </c>
      <c r="B17" s="315" t="s">
        <v>207</v>
      </c>
      <c r="E17" s="316">
        <v>0</v>
      </c>
      <c r="F17" s="316">
        <v>-4474785.9431036776</v>
      </c>
      <c r="G17" s="311">
        <f t="shared" si="3"/>
        <v>-452347</v>
      </c>
      <c r="H17" s="316">
        <v>0</v>
      </c>
      <c r="I17" s="316">
        <v>-4474785.9431036776</v>
      </c>
      <c r="J17" s="311">
        <f t="shared" si="1"/>
        <v>-421755</v>
      </c>
      <c r="K17" s="311">
        <f t="shared" si="2"/>
        <v>-421992</v>
      </c>
      <c r="L17" s="313">
        <f t="shared" si="0"/>
        <v>30355</v>
      </c>
    </row>
    <row r="18" spans="1:17" ht="15.55" customHeight="1" x14ac:dyDescent="0.35">
      <c r="A18" s="54" t="s">
        <v>138</v>
      </c>
      <c r="B18" s="315" t="s">
        <v>206</v>
      </c>
      <c r="C18" s="287"/>
      <c r="E18" s="316">
        <v>0</v>
      </c>
      <c r="F18" s="316">
        <v>-883607.65821111342</v>
      </c>
      <c r="G18" s="311">
        <f t="shared" si="3"/>
        <v>-89322</v>
      </c>
      <c r="H18" s="316">
        <v>0</v>
      </c>
      <c r="I18" s="316">
        <v>-883607.65821111342</v>
      </c>
      <c r="J18" s="311">
        <f t="shared" si="1"/>
        <v>-83281</v>
      </c>
      <c r="K18" s="311">
        <f t="shared" si="2"/>
        <v>-83328</v>
      </c>
      <c r="L18" s="313">
        <f t="shared" si="0"/>
        <v>5994</v>
      </c>
      <c r="N18" s="321"/>
    </row>
    <row r="19" spans="1:17" ht="15.55" customHeight="1" x14ac:dyDescent="0.35">
      <c r="A19" s="54" t="s">
        <v>139</v>
      </c>
      <c r="B19" s="315" t="s">
        <v>205</v>
      </c>
      <c r="C19" s="287"/>
      <c r="E19" s="316">
        <v>0</v>
      </c>
      <c r="F19" s="316">
        <v>-2226609.2301684245</v>
      </c>
      <c r="G19" s="311">
        <f t="shared" si="3"/>
        <v>-225084</v>
      </c>
      <c r="H19" s="316">
        <v>0</v>
      </c>
      <c r="I19" s="316">
        <v>-2226609.2301684245</v>
      </c>
      <c r="J19" s="311">
        <f t="shared" si="1"/>
        <v>-209861</v>
      </c>
      <c r="K19" s="311">
        <f t="shared" si="2"/>
        <v>-209979</v>
      </c>
      <c r="L19" s="313">
        <f t="shared" si="0"/>
        <v>15105</v>
      </c>
      <c r="N19" s="321"/>
    </row>
    <row r="20" spans="1:17" ht="15.55" customHeight="1" x14ac:dyDescent="0.35">
      <c r="A20" s="54" t="s">
        <v>140</v>
      </c>
      <c r="B20" s="315" t="s">
        <v>179</v>
      </c>
      <c r="C20" s="287"/>
      <c r="E20" s="316">
        <v>-12092.008887911908</v>
      </c>
      <c r="F20" s="316">
        <v>650369.2315541734</v>
      </c>
      <c r="G20" s="311">
        <f t="shared" si="3"/>
        <v>81828</v>
      </c>
      <c r="H20" s="316">
        <v>-1070.52</v>
      </c>
      <c r="I20" s="316">
        <v>60046</v>
      </c>
      <c r="J20" s="311">
        <f t="shared" si="1"/>
        <v>7083</v>
      </c>
      <c r="K20" s="311">
        <f t="shared" si="2"/>
        <v>7087</v>
      </c>
      <c r="L20" s="313">
        <f t="shared" si="0"/>
        <v>-74741</v>
      </c>
      <c r="N20" s="322"/>
    </row>
    <row r="21" spans="1:17" ht="15.55" customHeight="1" x14ac:dyDescent="0.35">
      <c r="A21" s="54" t="s">
        <v>141</v>
      </c>
      <c r="B21" s="315" t="s">
        <v>180</v>
      </c>
      <c r="C21" s="287"/>
      <c r="E21" s="316">
        <v>-19059.167514700493</v>
      </c>
      <c r="F21" s="316">
        <v>1683546.0347273466</v>
      </c>
      <c r="G21" s="311">
        <f t="shared" si="3"/>
        <v>195537</v>
      </c>
      <c r="H21" s="316">
        <v>-7936.9531012140433</v>
      </c>
      <c r="I21" s="316">
        <v>734008.29806735471</v>
      </c>
      <c r="J21" s="311">
        <f t="shared" si="1"/>
        <v>79738</v>
      </c>
      <c r="K21" s="311">
        <f t="shared" si="2"/>
        <v>79777</v>
      </c>
      <c r="L21" s="313">
        <f t="shared" si="0"/>
        <v>-115760</v>
      </c>
      <c r="N21" s="322"/>
    </row>
    <row r="22" spans="1:17" ht="15.55" customHeight="1" x14ac:dyDescent="0.35">
      <c r="A22" s="54" t="s">
        <v>142</v>
      </c>
      <c r="B22" s="315" t="s">
        <v>195</v>
      </c>
      <c r="C22" s="287"/>
      <c r="E22" s="316">
        <v>-2196411.1301742094</v>
      </c>
      <c r="F22" s="316">
        <v>55614054.06789159</v>
      </c>
      <c r="G22" s="311">
        <f t="shared" si="3"/>
        <v>8543374</v>
      </c>
      <c r="H22" s="316">
        <v>-2196411.1301742094</v>
      </c>
      <c r="I22" s="316">
        <v>55614054.06789159</v>
      </c>
      <c r="J22" s="311">
        <f t="shared" si="1"/>
        <v>8163167</v>
      </c>
      <c r="K22" s="311">
        <f t="shared" si="2"/>
        <v>8166114</v>
      </c>
      <c r="L22" s="313">
        <f t="shared" si="0"/>
        <v>-377260</v>
      </c>
      <c r="N22" s="322"/>
      <c r="Q22" s="319"/>
    </row>
    <row r="23" spans="1:17" ht="15.55" customHeight="1" x14ac:dyDescent="0.35">
      <c r="A23" s="54" t="s">
        <v>175</v>
      </c>
      <c r="B23" s="315" t="s">
        <v>176</v>
      </c>
      <c r="C23" s="287"/>
      <c r="E23" s="316">
        <v>-2212095.1537975511</v>
      </c>
      <c r="F23" s="316">
        <v>161088063.75272372</v>
      </c>
      <c r="G23" s="311">
        <f t="shared" si="3"/>
        <v>19226395</v>
      </c>
      <c r="H23" s="316">
        <v>-2212095.1537975511</v>
      </c>
      <c r="I23" s="316">
        <v>161088063.75272372</v>
      </c>
      <c r="J23" s="311">
        <f t="shared" si="1"/>
        <v>18125111</v>
      </c>
      <c r="K23" s="311">
        <f t="shared" si="2"/>
        <v>18133648</v>
      </c>
      <c r="L23" s="313">
        <f t="shared" si="0"/>
        <v>-1092747</v>
      </c>
      <c r="N23" s="322"/>
      <c r="Q23" s="319"/>
    </row>
    <row r="24" spans="1:17" ht="15.55" customHeight="1" x14ac:dyDescent="0.35">
      <c r="A24" s="323" t="s">
        <v>143</v>
      </c>
      <c r="B24" s="324" t="s">
        <v>157</v>
      </c>
      <c r="C24" s="287"/>
      <c r="E24" s="316">
        <v>1254531.319035949</v>
      </c>
      <c r="F24" s="316">
        <v>0</v>
      </c>
      <c r="G24" s="311">
        <f t="shared" si="3"/>
        <v>-1668659</v>
      </c>
      <c r="H24" s="316">
        <v>1300946.4058537639</v>
      </c>
      <c r="I24" s="316">
        <v>0</v>
      </c>
      <c r="J24" s="311">
        <f t="shared" si="1"/>
        <v>-1730396</v>
      </c>
      <c r="K24" s="311">
        <f t="shared" si="2"/>
        <v>-1730396</v>
      </c>
      <c r="L24" s="313">
        <f t="shared" si="0"/>
        <v>-61737</v>
      </c>
      <c r="N24" s="322"/>
      <c r="Q24" s="319"/>
    </row>
    <row r="25" spans="1:17" ht="15.55" customHeight="1" x14ac:dyDescent="0.35">
      <c r="A25" s="54" t="s">
        <v>145</v>
      </c>
      <c r="B25" s="315" t="s">
        <v>144</v>
      </c>
      <c r="C25" s="287"/>
      <c r="E25" s="316">
        <v>-1487354.33</v>
      </c>
      <c r="F25" s="316">
        <v>0</v>
      </c>
      <c r="G25" s="311">
        <f t="shared" si="3"/>
        <v>1978338</v>
      </c>
      <c r="H25" s="316">
        <v>-1487354.33</v>
      </c>
      <c r="I25" s="316">
        <v>0</v>
      </c>
      <c r="J25" s="311">
        <f t="shared" si="1"/>
        <v>1978338</v>
      </c>
      <c r="K25" s="311">
        <f t="shared" si="2"/>
        <v>1978338</v>
      </c>
      <c r="L25" s="313">
        <f t="shared" si="0"/>
        <v>0</v>
      </c>
    </row>
    <row r="26" spans="1:17" ht="15.55" customHeight="1" x14ac:dyDescent="0.35">
      <c r="A26" s="54" t="s">
        <v>146</v>
      </c>
      <c r="B26" s="315" t="s">
        <v>177</v>
      </c>
      <c r="C26" s="287"/>
      <c r="E26" s="316">
        <v>0</v>
      </c>
      <c r="F26" s="316">
        <v>2003147.5631538227</v>
      </c>
      <c r="G26" s="311">
        <f t="shared" si="3"/>
        <v>202494</v>
      </c>
      <c r="H26" s="316">
        <v>0</v>
      </c>
      <c r="I26" s="316">
        <v>2003147.5631538227</v>
      </c>
      <c r="J26" s="311">
        <f t="shared" si="1"/>
        <v>188800</v>
      </c>
      <c r="K26" s="311">
        <f t="shared" si="2"/>
        <v>188906</v>
      </c>
      <c r="L26" s="313">
        <f t="shared" si="0"/>
        <v>-13588</v>
      </c>
      <c r="N26" s="322"/>
    </row>
    <row r="27" spans="1:17" ht="15.55" customHeight="1" x14ac:dyDescent="0.35">
      <c r="A27" s="54" t="s">
        <v>147</v>
      </c>
      <c r="B27" s="315" t="s">
        <v>168</v>
      </c>
      <c r="C27" s="287"/>
      <c r="E27" s="316">
        <v>-897339.74776876858</v>
      </c>
      <c r="F27" s="316">
        <v>-24209006.120432053</v>
      </c>
      <c r="G27" s="311">
        <f t="shared" si="3"/>
        <v>-1253684</v>
      </c>
      <c r="H27" s="316">
        <v>-897339.74776876858</v>
      </c>
      <c r="I27" s="316">
        <v>-24209006.120432053</v>
      </c>
      <c r="J27" s="311">
        <f t="shared" si="1"/>
        <v>-1088178</v>
      </c>
      <c r="K27" s="311">
        <f t="shared" si="2"/>
        <v>-1089461</v>
      </c>
      <c r="L27" s="313">
        <f t="shared" si="0"/>
        <v>164223</v>
      </c>
      <c r="O27" s="321"/>
    </row>
    <row r="28" spans="1:17" ht="15.55" customHeight="1" x14ac:dyDescent="0.35">
      <c r="A28" s="54" t="s">
        <v>149</v>
      </c>
      <c r="B28" s="315" t="s">
        <v>148</v>
      </c>
      <c r="C28" s="287"/>
      <c r="E28" s="316">
        <v>0</v>
      </c>
      <c r="F28" s="316">
        <v>0</v>
      </c>
      <c r="G28" s="311">
        <f t="shared" si="3"/>
        <v>0</v>
      </c>
      <c r="H28" s="316">
        <v>0</v>
      </c>
      <c r="I28" s="316">
        <v>0</v>
      </c>
      <c r="J28" s="311">
        <f t="shared" si="1"/>
        <v>0</v>
      </c>
      <c r="K28" s="311">
        <f t="shared" si="2"/>
        <v>0</v>
      </c>
      <c r="L28" s="313">
        <f t="shared" si="0"/>
        <v>0</v>
      </c>
      <c r="N28" s="322"/>
    </row>
    <row r="29" spans="1:17" ht="15.55" customHeight="1" x14ac:dyDescent="0.35">
      <c r="A29" s="54" t="s">
        <v>156</v>
      </c>
      <c r="B29" s="315" t="s">
        <v>153</v>
      </c>
      <c r="C29" s="287"/>
      <c r="E29" s="316">
        <v>517664</v>
      </c>
      <c r="F29" s="316">
        <v>3265398</v>
      </c>
      <c r="G29" s="311">
        <f t="shared" si="3"/>
        <v>-358455</v>
      </c>
      <c r="H29" s="316">
        <v>517664</v>
      </c>
      <c r="I29" s="316">
        <v>3265398</v>
      </c>
      <c r="J29" s="311">
        <f t="shared" si="1"/>
        <v>-380779</v>
      </c>
      <c r="K29" s="311">
        <f t="shared" si="2"/>
        <v>-380606</v>
      </c>
      <c r="L29" s="313">
        <f t="shared" si="0"/>
        <v>-22151</v>
      </c>
      <c r="N29" s="322"/>
      <c r="O29" s="325"/>
    </row>
    <row r="30" spans="1:17" ht="15.55" customHeight="1" x14ac:dyDescent="0.35">
      <c r="A30" s="54" t="s">
        <v>151</v>
      </c>
      <c r="B30" s="315" t="s">
        <v>152</v>
      </c>
      <c r="C30" s="287"/>
      <c r="E30" s="316">
        <v>5509265.0565951578</v>
      </c>
      <c r="F30" s="316">
        <v>-311492.34512960946</v>
      </c>
      <c r="G30" s="311">
        <f t="shared" si="3"/>
        <v>-7359393</v>
      </c>
      <c r="H30" s="316">
        <v>5509265.0565951578</v>
      </c>
      <c r="I30" s="316">
        <v>-311492.34512960946</v>
      </c>
      <c r="J30" s="311">
        <f t="shared" si="1"/>
        <v>-7357263</v>
      </c>
      <c r="K30" s="311">
        <f t="shared" si="2"/>
        <v>-7357279</v>
      </c>
      <c r="L30" s="313">
        <f t="shared" si="0"/>
        <v>2114</v>
      </c>
      <c r="N30" s="322"/>
      <c r="O30" s="325"/>
    </row>
    <row r="31" spans="1:17" ht="15.55" customHeight="1" x14ac:dyDescent="0.35">
      <c r="A31" s="54" t="s">
        <v>154</v>
      </c>
      <c r="B31" s="315" t="s">
        <v>155</v>
      </c>
      <c r="C31" s="287"/>
      <c r="E31" s="316">
        <v>0</v>
      </c>
      <c r="F31" s="316">
        <v>-57462.544820610856</v>
      </c>
      <c r="G31" s="311">
        <f t="shared" si="3"/>
        <v>-5809</v>
      </c>
      <c r="H31" s="316">
        <v>0</v>
      </c>
      <c r="I31" s="316">
        <v>-57462.544820610856</v>
      </c>
      <c r="J31" s="311">
        <f t="shared" si="1"/>
        <v>-5416</v>
      </c>
      <c r="K31" s="311">
        <f t="shared" si="2"/>
        <v>-5419</v>
      </c>
      <c r="L31" s="313">
        <f t="shared" si="0"/>
        <v>390</v>
      </c>
      <c r="M31" s="326"/>
      <c r="N31" s="322"/>
      <c r="O31" s="325"/>
      <c r="Q31" s="327"/>
    </row>
    <row r="32" spans="1:17" ht="15.55" customHeight="1" thickBot="1" x14ac:dyDescent="0.4">
      <c r="A32" s="270"/>
      <c r="E32" s="328">
        <f>SUM(E10:E31)</f>
        <v>82159599.374290213</v>
      </c>
      <c r="F32" s="328">
        <f>SUM(F10:F31)</f>
        <v>1357485560.8292875</v>
      </c>
      <c r="G32" s="329">
        <f>SUM(G10:G31)</f>
        <v>27944590</v>
      </c>
      <c r="H32" s="329">
        <f>SUM(H10:H31)</f>
        <v>76172801.676896811</v>
      </c>
      <c r="I32" s="328">
        <f t="shared" ref="I32:L32" si="4">SUM(I10:I31)</f>
        <v>1351502797.7541218</v>
      </c>
      <c r="J32" s="329">
        <f>SUM(J10:J31)-12</f>
        <v>26063278</v>
      </c>
      <c r="K32" s="328">
        <f t="shared" si="4"/>
        <v>26134911</v>
      </c>
      <c r="L32" s="328">
        <f t="shared" si="4"/>
        <v>-1809679</v>
      </c>
      <c r="N32" s="322"/>
      <c r="Q32" s="330"/>
    </row>
    <row r="33" spans="1:18" ht="15.55" customHeight="1" thickTop="1" x14ac:dyDescent="0.35">
      <c r="A33" s="270"/>
      <c r="E33" s="316"/>
      <c r="F33" s="316"/>
      <c r="G33" s="331"/>
      <c r="H33" s="332"/>
      <c r="I33" s="332"/>
      <c r="J33" s="331"/>
      <c r="K33" s="333"/>
      <c r="L33" s="334"/>
      <c r="Q33" s="319"/>
      <c r="R33" s="319"/>
    </row>
    <row r="34" spans="1:18" ht="15.55" customHeight="1" x14ac:dyDescent="0.35">
      <c r="A34" s="270"/>
      <c r="E34" s="316"/>
      <c r="F34" s="316"/>
      <c r="G34" s="331"/>
      <c r="H34" s="332"/>
      <c r="I34" s="332"/>
      <c r="J34" s="331"/>
      <c r="K34" s="335" t="s">
        <v>249</v>
      </c>
      <c r="L34" s="336">
        <f>+G32</f>
        <v>27944590</v>
      </c>
      <c r="M34" s="269"/>
      <c r="N34" s="337"/>
      <c r="O34" s="319"/>
      <c r="Q34" s="338"/>
    </row>
    <row r="35" spans="1:18" ht="15.55" customHeight="1" x14ac:dyDescent="0.35">
      <c r="A35" s="270"/>
      <c r="E35" s="316"/>
      <c r="F35" s="316"/>
      <c r="G35" s="331"/>
      <c r="H35" s="332"/>
      <c r="I35" s="332"/>
      <c r="J35" s="331"/>
      <c r="K35" s="339" t="s">
        <v>243</v>
      </c>
      <c r="L35" s="340">
        <f>+L32</f>
        <v>-1809679</v>
      </c>
      <c r="M35" s="269"/>
      <c r="N35" s="341"/>
    </row>
    <row r="36" spans="1:18" ht="15.55" customHeight="1" x14ac:dyDescent="0.35">
      <c r="A36" s="270"/>
      <c r="E36" s="316"/>
      <c r="F36" s="316"/>
      <c r="G36" s="331"/>
      <c r="H36" s="332"/>
      <c r="I36" s="332"/>
      <c r="J36" s="331"/>
      <c r="K36" s="339" t="s">
        <v>250</v>
      </c>
      <c r="L36" s="342">
        <f>-(K32-J32)</f>
        <v>-71633</v>
      </c>
      <c r="M36" s="269"/>
      <c r="N36" s="343"/>
    </row>
    <row r="37" spans="1:18" ht="15.55" customHeight="1" thickBot="1" x14ac:dyDescent="0.4">
      <c r="A37" s="270"/>
      <c r="E37" s="316"/>
      <c r="F37" s="316"/>
      <c r="G37" s="344"/>
      <c r="H37" s="316"/>
      <c r="I37" s="316"/>
      <c r="J37" s="331"/>
      <c r="K37" s="345" t="s">
        <v>251</v>
      </c>
      <c r="L37" s="346">
        <f>SUM(L34:L36)</f>
        <v>26063278</v>
      </c>
      <c r="M37" s="269"/>
    </row>
    <row r="38" spans="1:18" ht="15.55" customHeight="1" x14ac:dyDescent="0.35">
      <c r="E38" s="272"/>
      <c r="M38" s="273"/>
    </row>
    <row r="39" spans="1:18" ht="15.55" customHeight="1" x14ac:dyDescent="0.35">
      <c r="A39" s="270"/>
      <c r="E39" s="272"/>
      <c r="M39" s="273"/>
    </row>
    <row r="40" spans="1:18" ht="15.55" customHeight="1" x14ac:dyDescent="0.35">
      <c r="A40" s="270"/>
      <c r="E40" s="272"/>
      <c r="M40" s="273"/>
    </row>
    <row r="41" spans="1:18" ht="15.55" customHeight="1" x14ac:dyDescent="0.35">
      <c r="A41" s="270"/>
      <c r="E41" s="272"/>
      <c r="M41" s="273"/>
    </row>
    <row r="42" spans="1:18" ht="15.55" customHeight="1" x14ac:dyDescent="0.35">
      <c r="E42" s="348"/>
      <c r="M42" s="273"/>
    </row>
    <row r="43" spans="1:18" ht="15.55" customHeight="1" x14ac:dyDescent="0.35">
      <c r="M43" s="273"/>
    </row>
    <row r="44" spans="1:18" ht="15.55" customHeight="1" x14ac:dyDescent="0.35">
      <c r="M44" s="273"/>
    </row>
    <row r="45" spans="1:18" ht="15.55" customHeight="1" x14ac:dyDescent="0.35">
      <c r="J45" s="308"/>
      <c r="M45" s="273"/>
    </row>
    <row r="46" spans="1:18" ht="15.55" customHeight="1" x14ac:dyDescent="0.35">
      <c r="A46" s="270"/>
      <c r="C46" s="308"/>
      <c r="D46" s="308"/>
      <c r="E46" s="272"/>
      <c r="M46" s="273"/>
    </row>
    <row r="47" spans="1:18" ht="15.55" customHeight="1" x14ac:dyDescent="0.35">
      <c r="A47" s="270"/>
      <c r="C47" s="287"/>
      <c r="M47" s="273"/>
    </row>
    <row r="48" spans="1:18" ht="15.55" customHeight="1" x14ac:dyDescent="0.35">
      <c r="A48" s="270"/>
      <c r="C48" s="287"/>
      <c r="M48" s="273"/>
    </row>
    <row r="49" spans="1:13" ht="15.55" customHeight="1" x14ac:dyDescent="0.35">
      <c r="A49" s="270"/>
      <c r="C49" s="287"/>
      <c r="G49" s="290"/>
      <c r="J49" s="290"/>
      <c r="M49" s="273"/>
    </row>
    <row r="50" spans="1:13" ht="15.55" customHeight="1" x14ac:dyDescent="0.35">
      <c r="A50" s="270"/>
      <c r="C50" s="287"/>
      <c r="G50" s="290"/>
      <c r="J50" s="290"/>
      <c r="M50" s="273"/>
    </row>
    <row r="51" spans="1:13" ht="15.55" customHeight="1" x14ac:dyDescent="0.35">
      <c r="A51" s="270"/>
      <c r="C51" s="287"/>
      <c r="G51" s="290"/>
      <c r="J51" s="290"/>
      <c r="K51" s="308"/>
      <c r="M51" s="273"/>
    </row>
    <row r="52" spans="1:13" ht="15.55" customHeight="1" x14ac:dyDescent="0.35">
      <c r="A52" s="270"/>
      <c r="C52" s="287"/>
      <c r="G52" s="290"/>
      <c r="J52" s="290"/>
      <c r="M52" s="273"/>
    </row>
    <row r="53" spans="1:13" ht="15.55" customHeight="1" x14ac:dyDescent="0.35">
      <c r="A53" s="270"/>
      <c r="C53" s="287"/>
      <c r="G53" s="290"/>
      <c r="J53" s="290"/>
      <c r="M53" s="273"/>
    </row>
    <row r="54" spans="1:13" ht="15.55" customHeight="1" x14ac:dyDescent="0.35">
      <c r="A54" s="270"/>
      <c r="C54" s="287"/>
      <c r="G54" s="290"/>
      <c r="J54" s="290"/>
      <c r="M54" s="273"/>
    </row>
    <row r="55" spans="1:13" ht="15.55" customHeight="1" x14ac:dyDescent="0.35">
      <c r="A55" s="270"/>
      <c r="C55" s="287"/>
      <c r="G55" s="290"/>
      <c r="J55" s="290"/>
      <c r="M55" s="273"/>
    </row>
    <row r="56" spans="1:13" ht="15.55" customHeight="1" x14ac:dyDescent="0.35">
      <c r="A56" s="270"/>
      <c r="C56" s="287"/>
      <c r="G56" s="290"/>
      <c r="J56" s="290"/>
      <c r="M56" s="273"/>
    </row>
    <row r="57" spans="1:13" ht="15.55" customHeight="1" x14ac:dyDescent="0.35">
      <c r="G57" s="290"/>
      <c r="J57" s="290"/>
      <c r="M57" s="273"/>
    </row>
    <row r="58" spans="1:13" ht="15.55" customHeight="1" x14ac:dyDescent="0.35">
      <c r="A58" s="270"/>
      <c r="G58" s="290"/>
      <c r="J58" s="290"/>
      <c r="M58" s="273"/>
    </row>
    <row r="59" spans="1:13" ht="15.55" customHeight="1" x14ac:dyDescent="0.35">
      <c r="A59" s="270"/>
      <c r="C59" s="287"/>
      <c r="G59" s="290"/>
      <c r="J59" s="290"/>
      <c r="M59" s="273"/>
    </row>
    <row r="60" spans="1:13" ht="15.55" customHeight="1" x14ac:dyDescent="0.35">
      <c r="A60" s="270"/>
      <c r="C60" s="287"/>
      <c r="G60" s="290"/>
      <c r="J60" s="290"/>
      <c r="M60" s="273"/>
    </row>
    <row r="61" spans="1:13" ht="15.55" customHeight="1" x14ac:dyDescent="0.35">
      <c r="A61" s="270"/>
      <c r="C61" s="287"/>
      <c r="G61" s="290"/>
      <c r="J61" s="290"/>
      <c r="M61" s="273"/>
    </row>
    <row r="62" spans="1:13" ht="15.55" customHeight="1" x14ac:dyDescent="0.35">
      <c r="A62" s="270"/>
      <c r="C62" s="287"/>
      <c r="G62" s="290"/>
      <c r="J62" s="290"/>
      <c r="K62" s="341"/>
      <c r="M62" s="273"/>
    </row>
    <row r="63" spans="1:13" ht="15.55" customHeight="1" x14ac:dyDescent="0.35">
      <c r="A63" s="270"/>
      <c r="C63" s="287"/>
      <c r="G63" s="290"/>
      <c r="J63" s="290"/>
      <c r="M63" s="273"/>
    </row>
    <row r="64" spans="1:13" ht="15.55" customHeight="1" x14ac:dyDescent="0.35">
      <c r="A64" s="270"/>
      <c r="C64" s="287"/>
      <c r="G64" s="290"/>
      <c r="J64" s="290"/>
      <c r="M64" s="273"/>
    </row>
    <row r="65" spans="1:13" ht="15.55" customHeight="1" x14ac:dyDescent="0.35">
      <c r="A65" s="270"/>
      <c r="C65" s="287"/>
      <c r="G65" s="290"/>
      <c r="J65" s="290"/>
      <c r="M65" s="273"/>
    </row>
    <row r="66" spans="1:13" ht="15.55" customHeight="1" x14ac:dyDescent="0.35">
      <c r="A66" s="270"/>
      <c r="C66" s="287"/>
      <c r="G66" s="290"/>
      <c r="J66" s="290"/>
      <c r="M66" s="273"/>
    </row>
    <row r="67" spans="1:13" ht="15.55" customHeight="1" x14ac:dyDescent="0.35">
      <c r="A67" s="270"/>
      <c r="C67" s="287"/>
      <c r="G67" s="290"/>
      <c r="J67" s="290"/>
      <c r="M67" s="273"/>
    </row>
    <row r="68" spans="1:13" ht="15.55" customHeight="1" x14ac:dyDescent="0.35">
      <c r="A68" s="270"/>
      <c r="C68" s="287"/>
      <c r="G68" s="290"/>
      <c r="J68" s="290"/>
      <c r="M68" s="326"/>
    </row>
    <row r="69" spans="1:13" ht="15.55" customHeight="1" x14ac:dyDescent="0.35">
      <c r="A69" s="270"/>
      <c r="C69" s="287"/>
      <c r="G69" s="290"/>
      <c r="J69" s="290"/>
      <c r="M69" s="273"/>
    </row>
    <row r="70" spans="1:13" ht="15.55" customHeight="1" x14ac:dyDescent="0.35">
      <c r="A70" s="270"/>
      <c r="C70" s="287"/>
      <c r="G70" s="290"/>
      <c r="J70" s="290"/>
      <c r="M70" s="273"/>
    </row>
    <row r="71" spans="1:13" ht="15.55" customHeight="1" x14ac:dyDescent="0.35">
      <c r="A71" s="270"/>
      <c r="C71" s="287"/>
      <c r="G71" s="290"/>
      <c r="J71" s="290"/>
      <c r="M71" s="326"/>
    </row>
    <row r="72" spans="1:13" ht="15.55" customHeight="1" x14ac:dyDescent="0.35">
      <c r="A72" s="270"/>
      <c r="C72" s="287"/>
      <c r="G72" s="290"/>
      <c r="J72" s="290"/>
      <c r="M72" s="273"/>
    </row>
    <row r="73" spans="1:13" ht="15.55" customHeight="1" x14ac:dyDescent="0.35">
      <c r="A73" s="270"/>
      <c r="C73" s="287"/>
      <c r="G73" s="290"/>
      <c r="J73" s="290"/>
      <c r="M73" s="273"/>
    </row>
    <row r="74" spans="1:13" ht="15.55" customHeight="1" x14ac:dyDescent="0.35">
      <c r="A74" s="270"/>
      <c r="C74" s="287"/>
      <c r="G74" s="290"/>
      <c r="J74" s="290"/>
      <c r="M74" s="273"/>
    </row>
    <row r="75" spans="1:13" ht="15.55" customHeight="1" x14ac:dyDescent="0.35">
      <c r="A75" s="270"/>
      <c r="G75" s="319"/>
      <c r="J75" s="319"/>
      <c r="M75" s="273"/>
    </row>
    <row r="76" spans="1:13" ht="15.55" customHeight="1" x14ac:dyDescent="0.35">
      <c r="A76" s="270"/>
      <c r="M76" s="273"/>
    </row>
    <row r="77" spans="1:13" ht="15.55" customHeight="1" x14ac:dyDescent="0.35">
      <c r="A77" s="270"/>
      <c r="C77" s="287"/>
      <c r="G77" s="290"/>
      <c r="J77" s="290"/>
      <c r="M77" s="273"/>
    </row>
    <row r="78" spans="1:13" ht="15.55" customHeight="1" x14ac:dyDescent="0.35">
      <c r="A78" s="270"/>
      <c r="C78" s="287"/>
      <c r="G78" s="290"/>
      <c r="J78" s="290"/>
      <c r="M78" s="273"/>
    </row>
    <row r="79" spans="1:13" ht="15.55" customHeight="1" x14ac:dyDescent="0.35">
      <c r="A79" s="270"/>
      <c r="C79" s="287"/>
      <c r="G79" s="290"/>
      <c r="J79" s="290"/>
      <c r="M79" s="273"/>
    </row>
    <row r="80" spans="1:13" ht="15.55" customHeight="1" x14ac:dyDescent="0.35">
      <c r="A80" s="270"/>
      <c r="C80" s="287"/>
      <c r="G80" s="290"/>
      <c r="J80" s="290"/>
      <c r="M80" s="273"/>
    </row>
    <row r="81" spans="1:14" ht="15.55" customHeight="1" x14ac:dyDescent="0.35">
      <c r="A81" s="270"/>
      <c r="C81" s="287"/>
      <c r="G81" s="290"/>
      <c r="J81" s="290"/>
      <c r="M81" s="273"/>
    </row>
    <row r="82" spans="1:14" ht="15.55" customHeight="1" x14ac:dyDescent="0.35">
      <c r="A82" s="270"/>
      <c r="C82" s="287"/>
      <c r="G82" s="290"/>
      <c r="J82" s="290"/>
      <c r="M82" s="273"/>
    </row>
    <row r="83" spans="1:14" ht="15.55" customHeight="1" x14ac:dyDescent="0.35">
      <c r="A83" s="270"/>
      <c r="C83" s="287"/>
      <c r="G83" s="290"/>
      <c r="J83" s="290"/>
      <c r="M83" s="273"/>
    </row>
    <row r="84" spans="1:14" ht="15.55" customHeight="1" x14ac:dyDescent="0.35">
      <c r="A84" s="270"/>
      <c r="C84" s="287"/>
      <c r="G84" s="290"/>
      <c r="J84" s="290"/>
      <c r="M84" s="273"/>
    </row>
    <row r="85" spans="1:14" ht="15.55" customHeight="1" x14ac:dyDescent="0.35">
      <c r="A85" s="270"/>
      <c r="C85" s="287"/>
      <c r="G85" s="290"/>
      <c r="J85" s="290"/>
      <c r="M85" s="273"/>
    </row>
    <row r="86" spans="1:14" ht="15.55" customHeight="1" x14ac:dyDescent="0.35">
      <c r="A86" s="270"/>
      <c r="C86" s="287"/>
      <c r="G86" s="290"/>
      <c r="J86" s="290"/>
      <c r="M86" s="273"/>
    </row>
    <row r="87" spans="1:14" ht="15.55" customHeight="1" x14ac:dyDescent="0.35">
      <c r="A87" s="270"/>
      <c r="C87" s="287"/>
      <c r="G87" s="290"/>
      <c r="J87" s="290"/>
      <c r="M87" s="273"/>
    </row>
    <row r="88" spans="1:14" ht="15.55" customHeight="1" x14ac:dyDescent="0.35">
      <c r="A88" s="270"/>
      <c r="C88" s="287"/>
      <c r="G88" s="290"/>
      <c r="J88" s="290"/>
      <c r="M88" s="273"/>
    </row>
    <row r="89" spans="1:14" ht="15.55" customHeight="1" x14ac:dyDescent="0.35">
      <c r="A89" s="270"/>
      <c r="C89" s="287"/>
      <c r="G89" s="290"/>
      <c r="J89" s="290"/>
      <c r="M89" s="273"/>
    </row>
    <row r="90" spans="1:14" ht="15.55" customHeight="1" x14ac:dyDescent="0.35">
      <c r="A90" s="270"/>
      <c r="C90" s="287"/>
      <c r="G90" s="290"/>
      <c r="J90" s="290"/>
      <c r="M90" s="273"/>
    </row>
    <row r="91" spans="1:14" ht="15.55" customHeight="1" x14ac:dyDescent="0.35">
      <c r="A91" s="270"/>
      <c r="C91" s="287"/>
      <c r="G91" s="290"/>
      <c r="J91" s="290"/>
      <c r="M91" s="273"/>
    </row>
    <row r="92" spans="1:14" ht="15.55" customHeight="1" x14ac:dyDescent="0.35">
      <c r="A92" s="270"/>
      <c r="C92" s="287"/>
      <c r="G92" s="290"/>
      <c r="J92" s="290"/>
      <c r="M92" s="273"/>
    </row>
    <row r="93" spans="1:14" ht="15.55" customHeight="1" x14ac:dyDescent="0.35">
      <c r="A93" s="270"/>
      <c r="G93" s="290"/>
      <c r="J93" s="290"/>
      <c r="M93" s="273"/>
    </row>
    <row r="94" spans="1:14" ht="15.55" customHeight="1" x14ac:dyDescent="0.35">
      <c r="G94" s="349"/>
      <c r="H94" s="350"/>
      <c r="I94" s="350"/>
      <c r="J94" s="349"/>
      <c r="M94" s="273"/>
    </row>
    <row r="95" spans="1:14" ht="15.55" customHeight="1" x14ac:dyDescent="0.35">
      <c r="G95" s="290"/>
      <c r="J95" s="290"/>
      <c r="L95" s="351"/>
      <c r="M95" s="273"/>
    </row>
    <row r="96" spans="1:14" ht="15.55" customHeight="1" x14ac:dyDescent="0.35">
      <c r="G96" s="322"/>
      <c r="M96" s="273"/>
      <c r="N96" s="319"/>
    </row>
    <row r="97" spans="12:14" ht="15.55" customHeight="1" x14ac:dyDescent="0.35">
      <c r="L97" s="352"/>
      <c r="M97" s="273"/>
      <c r="N97" s="338"/>
    </row>
    <row r="98" spans="12:14" ht="15.55" customHeight="1" x14ac:dyDescent="0.35">
      <c r="L98" s="352"/>
      <c r="M98" s="273"/>
      <c r="N98" s="343"/>
    </row>
    <row r="99" spans="12:14" ht="15.55" customHeight="1" x14ac:dyDescent="0.35">
      <c r="M99" s="273"/>
    </row>
    <row r="100" spans="12:14" ht="15.55" customHeight="1" x14ac:dyDescent="0.35">
      <c r="M100" s="273"/>
    </row>
    <row r="101" spans="12:14" ht="15.55" customHeight="1" x14ac:dyDescent="0.35">
      <c r="M101" s="273"/>
    </row>
  </sheetData>
  <pageMargins left="0.75" right="0.51" top="0.75" bottom="0.5" header="0.5" footer="0.5"/>
  <pageSetup scale="59" firstPageNumber="4" orientation="portrait" horizontalDpi="300" verticalDpi="300" r:id="rId1"/>
  <headerFooter alignWithMargins="0">
    <oddHeader>&amp;Lr&amp;RExh. JH-2r
Dockets UE-200900-01-894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4"/>
  <sheetViews>
    <sheetView showOutlineSymbols="0" workbookViewId="0">
      <selection activeCell="F12" sqref="F12"/>
    </sheetView>
  </sheetViews>
  <sheetFormatPr defaultColWidth="9.15234375" defaultRowHeight="10.3" x14ac:dyDescent="0.25"/>
  <cols>
    <col min="1" max="1" width="4.23046875" style="51" customWidth="1"/>
    <col min="2" max="2" width="11.15234375" style="117" customWidth="1"/>
    <col min="3" max="3" width="51.53515625" style="51" bestFit="1" customWidth="1"/>
    <col min="4" max="4" width="10.69140625" style="51" customWidth="1"/>
    <col min="5" max="5" width="12" style="51" bestFit="1" customWidth="1"/>
    <col min="6" max="6" width="10.69140625" style="51" customWidth="1"/>
    <col min="7" max="7" width="14" style="51" customWidth="1"/>
    <col min="8" max="8" width="10.4609375" style="51" bestFit="1" customWidth="1"/>
    <col min="9" max="16384" width="9.15234375" style="51"/>
  </cols>
  <sheetData>
    <row r="1" spans="1:9" ht="19.3" x14ac:dyDescent="0.5">
      <c r="A1" s="123" t="s">
        <v>108</v>
      </c>
      <c r="C1" s="124"/>
      <c r="D1" s="124"/>
      <c r="E1" s="124"/>
      <c r="F1" s="124"/>
      <c r="G1" s="124"/>
    </row>
    <row r="2" spans="1:9" ht="6" customHeight="1" x14ac:dyDescent="0.25">
      <c r="A2" s="125"/>
    </row>
    <row r="3" spans="1:9" ht="12.75" customHeight="1" x14ac:dyDescent="0.25">
      <c r="A3" s="359" t="s">
        <v>213</v>
      </c>
      <c r="B3" s="359"/>
      <c r="C3" s="359"/>
      <c r="D3" s="359"/>
      <c r="E3" s="359"/>
      <c r="F3" s="359"/>
      <c r="G3" s="359"/>
    </row>
    <row r="4" spans="1:9" ht="12.75" customHeight="1" x14ac:dyDescent="0.25">
      <c r="A4" s="359"/>
      <c r="B4" s="359"/>
      <c r="C4" s="359"/>
      <c r="D4" s="359"/>
      <c r="E4" s="359"/>
      <c r="F4" s="359"/>
      <c r="G4" s="359"/>
    </row>
    <row r="5" spans="1:9" ht="12.45" x14ac:dyDescent="0.3">
      <c r="B5" s="40"/>
    </row>
    <row r="6" spans="1:9" x14ac:dyDescent="0.25">
      <c r="B6" s="132" t="s">
        <v>114</v>
      </c>
      <c r="C6" s="132" t="s">
        <v>115</v>
      </c>
      <c r="D6" s="132" t="s">
        <v>116</v>
      </c>
      <c r="E6" s="132" t="s">
        <v>117</v>
      </c>
      <c r="F6" s="132" t="s">
        <v>118</v>
      </c>
      <c r="G6" s="132" t="s">
        <v>119</v>
      </c>
    </row>
    <row r="7" spans="1:9" x14ac:dyDescent="0.25">
      <c r="D7" s="126" t="s">
        <v>103</v>
      </c>
      <c r="E7" s="127" t="s">
        <v>104</v>
      </c>
      <c r="F7" s="126" t="s">
        <v>105</v>
      </c>
      <c r="G7" s="186" t="s">
        <v>93</v>
      </c>
    </row>
    <row r="8" spans="1:9" x14ac:dyDescent="0.25">
      <c r="C8" s="118" t="s">
        <v>214</v>
      </c>
      <c r="D8" s="119">
        <f>Summary!F37</f>
        <v>77661411.451440811</v>
      </c>
      <c r="E8" s="119">
        <f>Summary!F64</f>
        <v>1095981444.5934274</v>
      </c>
      <c r="F8" s="119">
        <f>-(D8-(E8*Overall_ROR))/gross_up_factor-Summary!F68</f>
        <v>0</v>
      </c>
      <c r="G8" s="50" t="s">
        <v>208</v>
      </c>
    </row>
    <row r="9" spans="1:9" x14ac:dyDescent="0.25">
      <c r="C9" s="118"/>
      <c r="D9" s="119"/>
      <c r="E9" s="119"/>
      <c r="F9" s="119"/>
      <c r="G9" s="50"/>
    </row>
    <row r="10" spans="1:9" s="130" customFormat="1" ht="24.75" customHeight="1" x14ac:dyDescent="0.3">
      <c r="A10" s="128" t="s">
        <v>113</v>
      </c>
      <c r="B10" s="128" t="s">
        <v>112</v>
      </c>
      <c r="C10" s="128"/>
      <c r="D10" s="128"/>
      <c r="E10" s="128"/>
      <c r="F10" s="129"/>
      <c r="G10" s="129"/>
    </row>
    <row r="11" spans="1:9" x14ac:dyDescent="0.25">
      <c r="A11" s="117">
        <v>1</v>
      </c>
      <c r="B11" s="117" t="str">
        <f t="array" ref="B11:B13">TRANSPOSE('Pro Forma Adj'!C8:E8)</f>
        <v>13.1</v>
      </c>
      <c r="C11" s="51" t="str">
        <f t="array" ref="C11:C13">TRANSPOSE('Pro Forma Adj'!C9:E9)</f>
        <v>Wheeling Revenues - 
Year 2</v>
      </c>
      <c r="D11" s="50">
        <f t="array" ref="D11:D13">TRANSPOSE('Pro Forma Adj'!C40:E40)</f>
        <v>1818117.859180236</v>
      </c>
      <c r="E11" s="50">
        <f t="array" ref="E11:E13">TRANSPOSE('Pro Forma Adj'!C67:E67)</f>
        <v>0</v>
      </c>
      <c r="F11" s="50">
        <f t="shared" ref="F11:F25" si="0">-(D11-(E11*Overall_ROR))/gross_up_factor</f>
        <v>-2418288.7648376417</v>
      </c>
      <c r="G11" s="50" t="s">
        <v>209</v>
      </c>
      <c r="H11" s="53"/>
    </row>
    <row r="12" spans="1:9" x14ac:dyDescent="0.25">
      <c r="A12" s="117">
        <f>A11+1</f>
        <v>2</v>
      </c>
      <c r="B12" s="117" t="str">
        <v>13.2</v>
      </c>
      <c r="C12" s="51" t="str">
        <v xml:space="preserve">General Wage Increase (Pro Forma) - 
Year 2 </v>
      </c>
      <c r="D12" s="50">
        <v>-560363.6210447792</v>
      </c>
      <c r="E12" s="50">
        <v>0</v>
      </c>
      <c r="F12" s="50">
        <f t="shared" si="0"/>
        <v>745342.79620757513</v>
      </c>
      <c r="G12" s="50" t="s">
        <v>209</v>
      </c>
    </row>
    <row r="13" spans="1:9" x14ac:dyDescent="0.25">
      <c r="A13" s="117">
        <f t="shared" ref="A13:A37" si="1">A12+1</f>
        <v>3</v>
      </c>
      <c r="B13" s="117" t="str">
        <v>13.3</v>
      </c>
      <c r="C13" s="51" t="str">
        <v>Pryor Mountain REC Revenues - Year 2</v>
      </c>
      <c r="D13" s="52">
        <v>-158500.92953504794</v>
      </c>
      <c r="E13" s="52">
        <v>0</v>
      </c>
      <c r="F13" s="52">
        <f>-(D13-(E13*Overall_ROR))/gross_up_factor</f>
        <v>210822.97562587843</v>
      </c>
      <c r="G13" s="50" t="s">
        <v>209</v>
      </c>
    </row>
    <row r="14" spans="1:9" x14ac:dyDescent="0.25">
      <c r="A14" s="117">
        <f>A13+1</f>
        <v>4</v>
      </c>
      <c r="C14" s="118" t="s">
        <v>215</v>
      </c>
      <c r="D14" s="119">
        <f>SUM(D11:D13)</f>
        <v>1099253.308600409</v>
      </c>
      <c r="E14" s="119">
        <f>SUM(E11:E13)</f>
        <v>0</v>
      </c>
      <c r="F14" s="119">
        <f>SUM(F11:F13)</f>
        <v>-1462122.9930041882</v>
      </c>
      <c r="G14" s="50"/>
    </row>
    <row r="15" spans="1:9" x14ac:dyDescent="0.25">
      <c r="A15" s="117">
        <f t="shared" si="1"/>
        <v>5</v>
      </c>
      <c r="D15" s="50"/>
      <c r="E15" s="50"/>
      <c r="F15" s="50"/>
      <c r="G15" s="50"/>
      <c r="H15" s="141">
        <f>SUM('Pro Forma Adj'!C71:E71)-F14</f>
        <v>0</v>
      </c>
      <c r="I15" s="51" t="s">
        <v>122</v>
      </c>
    </row>
    <row r="16" spans="1:9" x14ac:dyDescent="0.25">
      <c r="A16" s="117">
        <f t="shared" si="1"/>
        <v>6</v>
      </c>
      <c r="B16" s="117" t="str">
        <f t="array" ref="B16:B24">TRANSPOSE('Pro Forma Adj'!F8:N8)</f>
        <v>14.1</v>
      </c>
      <c r="C16" s="51" t="str">
        <f t="array" ref="C16:C24">TRANSPOSE('Pro Forma Adj'!F9:N9)</f>
        <v>Pro Forma Major Plant Additions - Year 2</v>
      </c>
      <c r="D16" s="50">
        <f t="array" ref="D16:D24">TRANSPOSE('Pro Forma Adj'!F40:N40)</f>
        <v>-123696.40812281473</v>
      </c>
      <c r="E16" s="50">
        <f t="array" ref="E16:E24">TRANSPOSE('Pro Forma Adj'!F67:N67)</f>
        <v>112345973.80883749</v>
      </c>
      <c r="F16" s="50">
        <f t="shared" ref="F16:F18" si="2">-(D16-(E16*Overall_ROR))/gross_up_factor</f>
        <v>10753305.428922944</v>
      </c>
      <c r="G16" s="50" t="s">
        <v>209</v>
      </c>
      <c r="H16" s="141"/>
    </row>
    <row r="17" spans="1:9" x14ac:dyDescent="0.25">
      <c r="A17" s="117">
        <f t="shared" si="1"/>
        <v>7</v>
      </c>
      <c r="B17" s="117" t="str">
        <v>14.2</v>
      </c>
      <c r="C17" s="51" t="str">
        <v>Pro Forma Depreciation &amp; Amortization Expense - 
Year 2</v>
      </c>
      <c r="D17" s="50">
        <v>-2989857.4393476993</v>
      </c>
      <c r="E17" s="50">
        <v>0</v>
      </c>
      <c r="F17" s="50">
        <f t="shared" si="2"/>
        <v>3976826.1543290936</v>
      </c>
      <c r="G17" s="50" t="s">
        <v>209</v>
      </c>
      <c r="H17" s="50"/>
    </row>
    <row r="18" spans="1:9" x14ac:dyDescent="0.25">
      <c r="A18" s="117">
        <f t="shared" si="1"/>
        <v>8</v>
      </c>
      <c r="B18" s="117" t="str">
        <v>14.3</v>
      </c>
      <c r="C18" s="51" t="str">
        <v>Pro Forma Depreciation &amp; Amortization Reserve - 
Year 2</v>
      </c>
      <c r="D18" s="50">
        <v>0</v>
      </c>
      <c r="E18" s="50">
        <v>-47426374.488113694</v>
      </c>
      <c r="F18" s="50">
        <f t="shared" si="2"/>
        <v>-4470006.7628523502</v>
      </c>
      <c r="G18" s="50" t="s">
        <v>210</v>
      </c>
      <c r="H18" s="141"/>
    </row>
    <row r="19" spans="1:9" x14ac:dyDescent="0.25">
      <c r="A19" s="117">
        <f t="shared" si="1"/>
        <v>9</v>
      </c>
      <c r="B19" s="117" t="str">
        <v>14.4</v>
      </c>
      <c r="C19" s="51" t="str">
        <v>Decommissioning and Other Plant Closure Costs - 
Year 2</v>
      </c>
      <c r="D19" s="50">
        <v>0</v>
      </c>
      <c r="E19" s="50">
        <v>-4474785.9431036776</v>
      </c>
      <c r="F19" s="50">
        <f t="shared" si="0"/>
        <v>-421755.27106764575</v>
      </c>
      <c r="G19" s="50" t="s">
        <v>210</v>
      </c>
    </row>
    <row r="20" spans="1:9" x14ac:dyDescent="0.25">
      <c r="A20" s="117">
        <f t="shared" si="1"/>
        <v>10</v>
      </c>
      <c r="B20" s="117" t="str">
        <v>14.5</v>
      </c>
      <c r="C20" s="51" t="str">
        <v>Jim Bridger Mine Rate Base - 
Year 2</v>
      </c>
      <c r="D20" s="50">
        <v>0</v>
      </c>
      <c r="E20" s="50">
        <v>-883607.65821111342</v>
      </c>
      <c r="F20" s="50">
        <f t="shared" si="0"/>
        <v>-83281.34398933893</v>
      </c>
      <c r="G20" s="50" t="s">
        <v>210</v>
      </c>
    </row>
    <row r="21" spans="1:9" x14ac:dyDescent="0.25">
      <c r="A21" s="117">
        <f t="shared" si="1"/>
        <v>11</v>
      </c>
      <c r="B21" s="117" t="str">
        <v>14.6</v>
      </c>
      <c r="C21" s="51" t="str">
        <v>Existing Coal-Fired Generation Assets - 
Year 2</v>
      </c>
      <c r="D21" s="50">
        <v>0</v>
      </c>
      <c r="E21" s="50">
        <v>-2226609.2301684245</v>
      </c>
      <c r="F21" s="50">
        <f t="shared" si="0"/>
        <v>-209861.2517719818</v>
      </c>
      <c r="G21" s="50" t="s">
        <v>210</v>
      </c>
    </row>
    <row r="22" spans="1:9" x14ac:dyDescent="0.25">
      <c r="A22" s="117">
        <f t="shared" si="1"/>
        <v>12</v>
      </c>
      <c r="B22" s="117" t="str">
        <v>14.7</v>
      </c>
      <c r="C22" s="51" t="str">
        <v>Pro Forma JB Units 3, 4 and Colstrip 4 Additions - 
Year 2</v>
      </c>
      <c r="D22" s="50">
        <v>-1070.52</v>
      </c>
      <c r="E22" s="50">
        <v>60046</v>
      </c>
      <c r="F22" s="50">
        <f t="shared" si="0"/>
        <v>7083.3300089915128</v>
      </c>
      <c r="G22" s="50" t="s">
        <v>210</v>
      </c>
    </row>
    <row r="23" spans="1:9" x14ac:dyDescent="0.25">
      <c r="A23" s="117">
        <f t="shared" si="1"/>
        <v>13</v>
      </c>
      <c r="B23" s="117" t="str">
        <v>14.8</v>
      </c>
      <c r="C23" s="51" t="str">
        <v>Pro Forma JB Units 1 &amp; 2 Additions - Year 2</v>
      </c>
      <c r="D23" s="50">
        <v>-7936.9531012140433</v>
      </c>
      <c r="E23" s="50">
        <v>734008.29806735471</v>
      </c>
      <c r="F23" s="50">
        <f t="shared" si="0"/>
        <v>79738.366289264028</v>
      </c>
      <c r="G23" s="50" t="s">
        <v>210</v>
      </c>
    </row>
    <row r="24" spans="1:9" x14ac:dyDescent="0.25">
      <c r="A24" s="117">
        <f t="shared" si="1"/>
        <v>14</v>
      </c>
      <c r="B24" s="117" t="str">
        <v>14.9</v>
      </c>
      <c r="C24" s="51" t="str">
        <v>Confidential Wind Generation Captial Additions - 
Year 2</v>
      </c>
      <c r="D24" s="120">
        <v>-2196411.1301742094</v>
      </c>
      <c r="E24" s="120">
        <v>55614054.06789159</v>
      </c>
      <c r="F24" s="120">
        <f t="shared" si="0"/>
        <v>8163166.581992574</v>
      </c>
      <c r="G24" s="50" t="s">
        <v>211</v>
      </c>
    </row>
    <row r="25" spans="1:9" x14ac:dyDescent="0.25">
      <c r="A25" s="117">
        <f t="shared" si="1"/>
        <v>15</v>
      </c>
      <c r="B25" s="142" t="s">
        <v>175</v>
      </c>
      <c r="C25" s="51" t="str">
        <f>'Pro Forma Adj'!O9</f>
        <v>Major Transmission Capital Additions - 
Year 2</v>
      </c>
      <c r="D25" s="52">
        <f>'Pro Forma Adj'!O40</f>
        <v>-2212095.1537975511</v>
      </c>
      <c r="E25" s="52">
        <f>'Pro Forma Adj'!O67</f>
        <v>161088063.75272372</v>
      </c>
      <c r="F25" s="52">
        <f t="shared" si="0"/>
        <v>18125111.230621364</v>
      </c>
      <c r="G25" s="50" t="s">
        <v>211</v>
      </c>
    </row>
    <row r="26" spans="1:9" x14ac:dyDescent="0.25">
      <c r="A26" s="117">
        <f>A24+1</f>
        <v>15</v>
      </c>
      <c r="C26" s="118" t="s">
        <v>216</v>
      </c>
      <c r="D26" s="121">
        <f>SUM(D16:D25)</f>
        <v>-7531067.6045434885</v>
      </c>
      <c r="E26" s="121">
        <f>SUM(E16:E25)</f>
        <v>274830768.60792327</v>
      </c>
      <c r="F26" s="121">
        <f>SUM(F16:F25)</f>
        <v>35920326.462482914</v>
      </c>
      <c r="G26" s="50"/>
      <c r="H26" s="141">
        <f>SUM('Pro Forma Adj'!F71:O71)-F26</f>
        <v>0</v>
      </c>
      <c r="I26" s="51" t="s">
        <v>122</v>
      </c>
    </row>
    <row r="27" spans="1:9" x14ac:dyDescent="0.25">
      <c r="A27" s="117">
        <f t="shared" si="1"/>
        <v>16</v>
      </c>
      <c r="D27" s="50"/>
      <c r="E27" s="50"/>
      <c r="F27" s="50"/>
      <c r="G27" s="50"/>
    </row>
    <row r="28" spans="1:9" x14ac:dyDescent="0.25">
      <c r="A28" s="117">
        <f t="shared" si="1"/>
        <v>17</v>
      </c>
      <c r="B28" s="117" t="str">
        <f t="array" ref="B28:B33">TRANSPOSE('Pro Forma Adj'!P8:U8)</f>
        <v>15.1</v>
      </c>
      <c r="C28" s="51" t="str">
        <f t="array" ref="C28:C33">TRANSPOSE('Pro Forma Adj'!P9:U9)</f>
        <v>Interest True-Up - Year 2</v>
      </c>
      <c r="D28" s="50">
        <f t="array" ref="D28:D33">TRANSPOSE('Pro Forma Adj'!P40:U40)</f>
        <v>1300946.4058537639</v>
      </c>
      <c r="E28" s="50">
        <f t="array" ref="E28:E33">TRANSPOSE('Pro Forma Adj'!P67:U67)</f>
        <v>0</v>
      </c>
      <c r="F28" s="50">
        <f t="shared" ref="F28:F33" si="3">-(D28-(E28*Overall_ROR))/gross_up_factor</f>
        <v>-1730396.1132368969</v>
      </c>
      <c r="G28" s="50" t="s">
        <v>211</v>
      </c>
    </row>
    <row r="29" spans="1:9" x14ac:dyDescent="0.25">
      <c r="A29" s="117">
        <f t="shared" si="1"/>
        <v>18</v>
      </c>
      <c r="B29" s="117" t="str">
        <v>15.2</v>
      </c>
      <c r="C29" s="51" t="str">
        <v>Property Taxes - 
Year 2</v>
      </c>
      <c r="D29" s="50">
        <v>-1487354.33</v>
      </c>
      <c r="E29" s="50">
        <v>0</v>
      </c>
      <c r="F29" s="50">
        <f t="shared" ref="F29:F31" si="4">-(D29-(E29*Overall_ROR))/gross_up_factor</f>
        <v>1978338.3389641137</v>
      </c>
      <c r="G29" s="50" t="s">
        <v>211</v>
      </c>
    </row>
    <row r="30" spans="1:9" x14ac:dyDescent="0.25">
      <c r="A30" s="117">
        <f t="shared" si="1"/>
        <v>19</v>
      </c>
      <c r="B30" s="117" t="str">
        <v>15.3</v>
      </c>
      <c r="C30" s="51" t="str">
        <v>Removal of TCJA Balances Adjustment - Year 2</v>
      </c>
      <c r="D30" s="50">
        <v>0</v>
      </c>
      <c r="E30" s="50">
        <v>2003147.5631538227</v>
      </c>
      <c r="F30" s="50">
        <f t="shared" si="4"/>
        <v>188799.65527478643</v>
      </c>
      <c r="G30" s="50" t="s">
        <v>211</v>
      </c>
    </row>
    <row r="31" spans="1:9" x14ac:dyDescent="0.25">
      <c r="A31" s="117">
        <f t="shared" si="1"/>
        <v>20</v>
      </c>
      <c r="B31" s="117" t="str">
        <v>15.4</v>
      </c>
      <c r="C31" s="51" t="str">
        <v>PowerTax ADIT Balance Adjustment - Year 2</v>
      </c>
      <c r="D31" s="50">
        <v>-897339.74776876858</v>
      </c>
      <c r="E31" s="50">
        <v>-24209006.120432053</v>
      </c>
      <c r="F31" s="50">
        <f t="shared" si="4"/>
        <v>-1088178.4195233244</v>
      </c>
      <c r="G31" s="50" t="s">
        <v>211</v>
      </c>
    </row>
    <row r="32" spans="1:9" x14ac:dyDescent="0.25">
      <c r="A32" s="117">
        <f t="shared" si="1"/>
        <v>21</v>
      </c>
      <c r="B32" s="117" t="str">
        <v>15.5</v>
      </c>
      <c r="C32" s="51" t="str">
        <v>Permanent Schedule M Adjustment - Year 2</v>
      </c>
      <c r="D32" s="120">
        <v>0</v>
      </c>
      <c r="E32" s="120">
        <v>0</v>
      </c>
      <c r="F32" s="120">
        <f t="shared" si="3"/>
        <v>0</v>
      </c>
      <c r="G32" s="50" t="s">
        <v>211</v>
      </c>
    </row>
    <row r="33" spans="1:9" x14ac:dyDescent="0.25">
      <c r="A33" s="117">
        <f t="shared" si="1"/>
        <v>22</v>
      </c>
      <c r="B33" s="117" t="str">
        <v>15.6</v>
      </c>
      <c r="C33" s="51" t="str">
        <v>Remove Deferred State Tax Expense &amp; Balance - 
Year 2</v>
      </c>
      <c r="D33" s="52">
        <v>517664</v>
      </c>
      <c r="E33" s="52">
        <v>3265398</v>
      </c>
      <c r="F33" s="52">
        <f t="shared" si="3"/>
        <v>-380779.14295485622</v>
      </c>
      <c r="G33" s="50" t="s">
        <v>212</v>
      </c>
      <c r="H33" s="141">
        <f>SUM('Pro Forma Adj'!P71:U71)-F34</f>
        <v>0</v>
      </c>
      <c r="I33" s="51" t="s">
        <v>122</v>
      </c>
    </row>
    <row r="34" spans="1:9" x14ac:dyDescent="0.25">
      <c r="A34" s="117">
        <f t="shared" si="1"/>
        <v>23</v>
      </c>
      <c r="C34" s="118" t="s">
        <v>217</v>
      </c>
      <c r="D34" s="119">
        <f t="shared" ref="D34:E34" si="5">SUM(D28:D33)</f>
        <v>-566083.67191500473</v>
      </c>
      <c r="E34" s="119">
        <f t="shared" si="5"/>
        <v>-18940460.557278231</v>
      </c>
      <c r="F34" s="119">
        <f>SUM(F28:F33)</f>
        <v>-1032215.6814761774</v>
      </c>
      <c r="G34" s="50"/>
    </row>
    <row r="35" spans="1:9" x14ac:dyDescent="0.25">
      <c r="A35" s="117">
        <f t="shared" si="1"/>
        <v>24</v>
      </c>
      <c r="B35" s="142"/>
      <c r="D35" s="50"/>
      <c r="E35" s="50"/>
      <c r="F35" s="50"/>
      <c r="G35" s="50"/>
    </row>
    <row r="36" spans="1:9" x14ac:dyDescent="0.25">
      <c r="A36" s="117">
        <f t="shared" si="1"/>
        <v>25</v>
      </c>
      <c r="B36" s="142" t="str">
        <f t="array" ref="B36:B37">TRANSPOSE('Pro Forma Adj'!V8:W8)</f>
        <v>16.1</v>
      </c>
      <c r="C36" s="51" t="str">
        <f t="array" ref="C36:C37">TRANSPOSE('Pro Forma Adj'!V9:W9)</f>
        <v>Regulatory Assets &amp; Liabilities Amortization - Year 2</v>
      </c>
      <c r="D36" s="120">
        <f t="array" ref="D36:D37">TRANSPOSE('Pro Forma Adj'!V40:W40)</f>
        <v>5509265.0565951578</v>
      </c>
      <c r="E36" s="120">
        <f t="array" ref="E36:E37">TRANSPOSE('Pro Forma Adj'!V67:W67)</f>
        <v>-311492.34512960946</v>
      </c>
      <c r="F36" s="120">
        <f t="shared" ref="F36" si="6">-(D36-(E36*Overall_ROR))/gross_up_factor</f>
        <v>-7357262.9805137087</v>
      </c>
      <c r="G36" s="50" t="s">
        <v>212</v>
      </c>
    </row>
    <row r="37" spans="1:9" x14ac:dyDescent="0.25">
      <c r="A37" s="117">
        <f t="shared" si="1"/>
        <v>26</v>
      </c>
      <c r="B37" s="142" t="str">
        <v>16.2</v>
      </c>
      <c r="C37" s="51" t="str">
        <v>Klamath Hydroelectric Assets Amortization - Year 2</v>
      </c>
      <c r="D37" s="52">
        <v>0</v>
      </c>
      <c r="E37" s="52">
        <v>-57462.544820610856</v>
      </c>
      <c r="F37" s="52">
        <f t="shared" ref="F37" si="7">-(D37-(E37*Overall_ROR))/gross_up_factor</f>
        <v>-5415.930834502482</v>
      </c>
      <c r="G37" s="50" t="s">
        <v>212</v>
      </c>
    </row>
    <row r="38" spans="1:9" x14ac:dyDescent="0.25">
      <c r="A38" s="117">
        <f>A37+1</f>
        <v>27</v>
      </c>
      <c r="C38" s="118" t="s">
        <v>218</v>
      </c>
      <c r="D38" s="119">
        <f>SUM(D35:D37)</f>
        <v>5509265.0565951578</v>
      </c>
      <c r="E38" s="119">
        <f>SUM(E35:E37)</f>
        <v>-368954.8899502203</v>
      </c>
      <c r="F38" s="119">
        <f>SUM(F35:F37)</f>
        <v>-7362678.9113482116</v>
      </c>
      <c r="G38" s="50"/>
      <c r="H38" s="141">
        <f>SUM('Pro Forma Adj'!V71:W71)-F38</f>
        <v>0</v>
      </c>
      <c r="I38" s="51" t="s">
        <v>122</v>
      </c>
    </row>
    <row r="39" spans="1:9" x14ac:dyDescent="0.25">
      <c r="A39" s="117">
        <f t="shared" ref="A39:A46" si="8">A38+1</f>
        <v>28</v>
      </c>
      <c r="D39" s="50"/>
      <c r="E39" s="50"/>
      <c r="F39" s="50"/>
      <c r="G39" s="50"/>
    </row>
    <row r="40" spans="1:9" x14ac:dyDescent="0.25">
      <c r="A40" s="117">
        <f t="shared" si="8"/>
        <v>29</v>
      </c>
      <c r="C40" s="122" t="s">
        <v>120</v>
      </c>
      <c r="D40" s="121">
        <f>D14+D26+D34+D38</f>
        <v>-1488632.9112629266</v>
      </c>
      <c r="E40" s="121">
        <f>E14+E26+E34+E38</f>
        <v>255521353.16069484</v>
      </c>
      <c r="F40" s="121">
        <f>F14+F26+F34+F38</f>
        <v>26063308.876654338</v>
      </c>
      <c r="G40" s="50"/>
      <c r="H40" s="141">
        <f>'Pro Forma Adj'!B71-F40</f>
        <v>0</v>
      </c>
      <c r="I40" s="51" t="s">
        <v>122</v>
      </c>
    </row>
    <row r="41" spans="1:9" x14ac:dyDescent="0.25">
      <c r="A41" s="117">
        <f t="shared" si="8"/>
        <v>30</v>
      </c>
      <c r="B41" s="51"/>
      <c r="C41" s="122"/>
      <c r="D41" s="121"/>
      <c r="E41" s="121"/>
      <c r="F41" s="121"/>
      <c r="G41" s="50"/>
    </row>
    <row r="42" spans="1:9" x14ac:dyDescent="0.25">
      <c r="A42" s="117">
        <f t="shared" si="8"/>
        <v>31</v>
      </c>
      <c r="C42" s="131" t="s">
        <v>107</v>
      </c>
      <c r="D42" s="131">
        <f>D8+D40</f>
        <v>76172778.540177882</v>
      </c>
      <c r="E42" s="131">
        <f>E8+E40</f>
        <v>1351502797.7541223</v>
      </c>
      <c r="F42" s="131">
        <f>F8+F40</f>
        <v>26063308.876654338</v>
      </c>
      <c r="G42" s="49" t="s">
        <v>208</v>
      </c>
    </row>
    <row r="43" spans="1:9" x14ac:dyDescent="0.25">
      <c r="A43" s="117">
        <f t="shared" si="8"/>
        <v>32</v>
      </c>
      <c r="C43" s="122"/>
      <c r="D43" s="121"/>
      <c r="E43" s="121"/>
      <c r="F43" s="121"/>
      <c r="G43" s="50"/>
    </row>
    <row r="44" spans="1:9" x14ac:dyDescent="0.25">
      <c r="A44" s="117">
        <f t="shared" si="8"/>
        <v>33</v>
      </c>
      <c r="B44" s="125" t="s">
        <v>106</v>
      </c>
      <c r="C44" s="122"/>
      <c r="D44" s="121"/>
      <c r="E44" s="121"/>
      <c r="F44" s="121"/>
      <c r="G44" s="50"/>
    </row>
    <row r="45" spans="1:9" x14ac:dyDescent="0.25">
      <c r="A45" s="117">
        <f t="shared" si="8"/>
        <v>34</v>
      </c>
      <c r="B45" s="125" t="s">
        <v>219</v>
      </c>
      <c r="C45" s="167"/>
    </row>
    <row r="46" spans="1:9" x14ac:dyDescent="0.25">
      <c r="A46" s="117">
        <f t="shared" si="8"/>
        <v>35</v>
      </c>
      <c r="B46" s="125" t="s">
        <v>220</v>
      </c>
      <c r="C46" s="167"/>
    </row>
    <row r="47" spans="1:9" x14ac:dyDescent="0.25">
      <c r="A47" s="117"/>
    </row>
    <row r="48" spans="1:9" x14ac:dyDescent="0.25">
      <c r="A48" s="117"/>
    </row>
    <row r="49" spans="1:1" x14ac:dyDescent="0.25">
      <c r="A49" s="117"/>
    </row>
    <row r="50" spans="1:1" x14ac:dyDescent="0.25">
      <c r="A50" s="117"/>
    </row>
    <row r="51" spans="1:1" x14ac:dyDescent="0.25">
      <c r="A51" s="117"/>
    </row>
    <row r="52" spans="1:1" x14ac:dyDescent="0.25">
      <c r="A52" s="117"/>
    </row>
    <row r="53" spans="1:1" x14ac:dyDescent="0.25">
      <c r="A53" s="117"/>
    </row>
    <row r="54" spans="1:1" x14ac:dyDescent="0.25">
      <c r="A54" s="117"/>
    </row>
  </sheetData>
  <mergeCells count="1">
    <mergeCell ref="A3:G4"/>
  </mergeCells>
  <pageMargins left="0.7" right="0.7" top="0.75" bottom="0.75" header="0.3" footer="0.3"/>
  <pageSetup scale="79" orientation="portrait" r:id="rId1"/>
  <headerFooter>
    <oddHeader>&amp;RExhibit No. SLC-3
Page &amp;P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workbookViewId="0">
      <selection activeCell="J19" sqref="J19"/>
    </sheetView>
  </sheetViews>
  <sheetFormatPr defaultColWidth="9.15234375" defaultRowHeight="10.3" x14ac:dyDescent="0.25"/>
  <cols>
    <col min="1" max="1" width="3.4609375" style="73" customWidth="1"/>
    <col min="2" max="2" width="24.23046875" style="73" customWidth="1"/>
    <col min="3" max="3" width="15.69140625" style="73" customWidth="1"/>
    <col min="4" max="4" width="3.23046875" style="73" customWidth="1"/>
    <col min="5" max="5" width="14.84375" style="73" customWidth="1"/>
    <col min="6" max="6" width="15.23046875" style="73" customWidth="1"/>
    <col min="7" max="7" width="13.23046875" style="73" customWidth="1"/>
    <col min="8" max="8" width="14.69140625" style="73" customWidth="1"/>
    <col min="9" max="9" width="3" style="73" customWidth="1"/>
    <col min="10" max="10" width="14.15234375" style="73" customWidth="1"/>
    <col min="11" max="11" width="3.15234375" style="73" customWidth="1"/>
    <col min="12" max="12" width="15.23046875" style="73" customWidth="1"/>
    <col min="13" max="13" width="12.23046875" style="169" bestFit="1" customWidth="1"/>
    <col min="14" max="16384" width="9.15234375" style="73"/>
  </cols>
  <sheetData>
    <row r="1" spans="1:13" ht="11.6" x14ac:dyDescent="0.3">
      <c r="A1" s="71" t="s">
        <v>5</v>
      </c>
      <c r="B1" s="72"/>
      <c r="E1" s="74"/>
      <c r="F1" s="74"/>
      <c r="G1" s="74"/>
      <c r="H1" s="74"/>
      <c r="I1" s="74"/>
      <c r="J1" s="74"/>
      <c r="K1" s="74"/>
      <c r="L1" s="178"/>
    </row>
    <row r="2" spans="1:13" ht="11.6" x14ac:dyDescent="0.3">
      <c r="A2" s="360" t="s">
        <v>109</v>
      </c>
      <c r="B2" s="361"/>
      <c r="E2" s="74"/>
      <c r="F2" s="74"/>
      <c r="G2" s="74"/>
      <c r="H2" s="74"/>
      <c r="I2" s="74"/>
      <c r="J2" s="74"/>
      <c r="K2" s="74"/>
      <c r="L2" s="179"/>
    </row>
    <row r="3" spans="1:13" ht="12" customHeight="1" x14ac:dyDescent="0.3">
      <c r="A3" s="362" t="s">
        <v>125</v>
      </c>
      <c r="B3" s="362"/>
      <c r="C3" s="362"/>
      <c r="E3" s="74"/>
      <c r="F3" s="74"/>
      <c r="G3" s="74"/>
      <c r="H3" s="74"/>
      <c r="I3" s="74"/>
      <c r="J3" s="74"/>
      <c r="K3" s="74"/>
      <c r="L3" s="74"/>
    </row>
    <row r="4" spans="1:13" ht="11.6" x14ac:dyDescent="0.3">
      <c r="A4" s="75" t="s">
        <v>194</v>
      </c>
      <c r="B4" s="72"/>
      <c r="E4" s="74"/>
      <c r="F4" s="74"/>
      <c r="G4" s="74"/>
      <c r="H4" s="74"/>
      <c r="I4" s="74"/>
      <c r="J4" s="74"/>
      <c r="K4" s="74"/>
      <c r="L4" s="74"/>
    </row>
    <row r="5" spans="1:13" ht="12.45" x14ac:dyDescent="0.3">
      <c r="A5" s="76"/>
      <c r="E5" s="74"/>
      <c r="F5" s="74"/>
      <c r="G5" s="74"/>
      <c r="H5" s="74"/>
      <c r="I5" s="74"/>
      <c r="J5" s="74"/>
      <c r="K5" s="74"/>
      <c r="L5" s="74"/>
    </row>
    <row r="6" spans="1:13" x14ac:dyDescent="0.25">
      <c r="A6" s="77"/>
      <c r="C6" s="79"/>
      <c r="D6" s="80"/>
      <c r="E6" s="363" t="s">
        <v>196</v>
      </c>
      <c r="F6" s="363"/>
      <c r="G6" s="363"/>
      <c r="H6" s="363"/>
      <c r="I6" s="162"/>
      <c r="J6" s="78"/>
      <c r="L6" s="165"/>
      <c r="M6" s="73"/>
    </row>
    <row r="7" spans="1:13" x14ac:dyDescent="0.25">
      <c r="C7" s="163"/>
      <c r="D7" s="80"/>
      <c r="E7" s="164"/>
      <c r="F7" s="162"/>
      <c r="G7" s="162"/>
      <c r="H7" s="162"/>
      <c r="J7" s="81" t="s">
        <v>110</v>
      </c>
      <c r="M7" s="170"/>
    </row>
    <row r="8" spans="1:13" x14ac:dyDescent="0.25">
      <c r="C8" s="81"/>
      <c r="D8" s="80"/>
      <c r="E8" s="81" t="s">
        <v>185</v>
      </c>
      <c r="F8" s="81" t="s">
        <v>186</v>
      </c>
      <c r="G8" s="81" t="s">
        <v>188</v>
      </c>
      <c r="H8" s="81" t="s">
        <v>187</v>
      </c>
      <c r="I8" s="80"/>
      <c r="J8" s="81" t="s">
        <v>192</v>
      </c>
    </row>
    <row r="9" spans="1:13" ht="55.5" customHeight="1" x14ac:dyDescent="0.25">
      <c r="C9" s="82" t="s">
        <v>197</v>
      </c>
      <c r="D9" s="83"/>
      <c r="E9" s="82" t="s">
        <v>189</v>
      </c>
      <c r="F9" s="82" t="s">
        <v>224</v>
      </c>
      <c r="G9" s="82" t="s">
        <v>190</v>
      </c>
      <c r="H9" s="82" t="s">
        <v>191</v>
      </c>
      <c r="I9" s="83"/>
      <c r="J9" s="82" t="s">
        <v>193</v>
      </c>
      <c r="L9" s="82" t="s">
        <v>225</v>
      </c>
      <c r="M9" s="171"/>
    </row>
    <row r="10" spans="1:13" x14ac:dyDescent="0.25">
      <c r="A10" s="84">
        <v>1</v>
      </c>
      <c r="B10" s="84" t="s">
        <v>8</v>
      </c>
    </row>
    <row r="11" spans="1:13" x14ac:dyDescent="0.25">
      <c r="A11" s="84">
        <v>2</v>
      </c>
      <c r="B11" s="84" t="s">
        <v>9</v>
      </c>
      <c r="C11" s="49">
        <f>Summary!F9</f>
        <v>421645413.92249602</v>
      </c>
      <c r="D11" s="85"/>
      <c r="E11" s="97">
        <f>'Exhibit No. SLC-5 pg 3'!D6</f>
        <v>0</v>
      </c>
      <c r="F11" s="97">
        <f>'Exhibit No. SLC-5 pg 3'!E6</f>
        <v>0</v>
      </c>
      <c r="G11" s="97">
        <f>'Exhibit No. SLC-5 pg 3'!F6</f>
        <v>0</v>
      </c>
      <c r="H11" s="97">
        <f>'Exhibit No. SLC-5 pg 3'!G6</f>
        <v>0</v>
      </c>
      <c r="J11" s="49">
        <f>SUM(E11:H11)</f>
        <v>0</v>
      </c>
      <c r="L11" s="86">
        <f>+C11+J11</f>
        <v>421645413.92249602</v>
      </c>
      <c r="M11" s="172"/>
    </row>
    <row r="12" spans="1:13" x14ac:dyDescent="0.25">
      <c r="A12" s="84">
        <v>3</v>
      </c>
      <c r="B12" s="84" t="s">
        <v>10</v>
      </c>
      <c r="C12" s="49">
        <f>Summary!F10</f>
        <v>0</v>
      </c>
      <c r="D12" s="85"/>
      <c r="E12" s="97">
        <f>'Exhibit No. SLC-5 pg 3'!D7</f>
        <v>0</v>
      </c>
      <c r="F12" s="97">
        <f>'Exhibit No. SLC-5 pg 3'!E7</f>
        <v>0</v>
      </c>
      <c r="G12" s="97">
        <f>'Exhibit No. SLC-5 pg 3'!F7</f>
        <v>0</v>
      </c>
      <c r="H12" s="97">
        <f>'Exhibit No. SLC-5 pg 3'!G7</f>
        <v>0</v>
      </c>
      <c r="J12" s="49">
        <f>SUM(E12:H12)</f>
        <v>0</v>
      </c>
      <c r="L12" s="86">
        <f>+C12+J12</f>
        <v>0</v>
      </c>
      <c r="M12" s="172"/>
    </row>
    <row r="13" spans="1:13" x14ac:dyDescent="0.25">
      <c r="A13" s="84">
        <v>4</v>
      </c>
      <c r="B13" s="84" t="s">
        <v>11</v>
      </c>
      <c r="C13" s="49">
        <f>Summary!F11</f>
        <v>20170215.172616381</v>
      </c>
      <c r="D13" s="85"/>
      <c r="E13" s="97">
        <f>'Exhibit No. SLC-5 pg 3'!D8</f>
        <v>0</v>
      </c>
      <c r="F13" s="97">
        <f>'Exhibit No. SLC-5 pg 3'!E8</f>
        <v>0</v>
      </c>
      <c r="G13" s="97">
        <f>'Exhibit No. SLC-5 pg 3'!F8</f>
        <v>0</v>
      </c>
      <c r="H13" s="97">
        <f>'Exhibit No. SLC-5 pg 3'!G8</f>
        <v>0</v>
      </c>
      <c r="J13" s="49">
        <f>SUM(E13:H13)</f>
        <v>0</v>
      </c>
      <c r="L13" s="86">
        <f>+C13+J13</f>
        <v>20170215.172616381</v>
      </c>
      <c r="M13" s="172"/>
    </row>
    <row r="14" spans="1:13" x14ac:dyDescent="0.25">
      <c r="A14" s="84">
        <v>5</v>
      </c>
      <c r="B14" s="84" t="s">
        <v>12</v>
      </c>
      <c r="C14" s="49">
        <f>Summary!F12</f>
        <v>20654359.453849081</v>
      </c>
      <c r="D14" s="85"/>
      <c r="E14" s="97">
        <f>'Exhibit No. SLC-5 pg 3'!D9</f>
        <v>2100780.9236015039</v>
      </c>
      <c r="F14" s="97">
        <f>'Exhibit No. SLC-5 pg 3'!E9</f>
        <v>0</v>
      </c>
      <c r="G14" s="97">
        <f>'Exhibit No. SLC-5 pg 3'!F9</f>
        <v>0</v>
      </c>
      <c r="H14" s="97">
        <f>'Exhibit No. SLC-5 pg 3'!G9</f>
        <v>0</v>
      </c>
      <c r="J14" s="49">
        <f>SUM(E14:H14)</f>
        <v>2100780.9236015039</v>
      </c>
      <c r="L14" s="86">
        <f>+C14+J14</f>
        <v>22755140.377450585</v>
      </c>
      <c r="M14" s="172"/>
    </row>
    <row r="15" spans="1:13" x14ac:dyDescent="0.25">
      <c r="A15" s="84">
        <v>6</v>
      </c>
      <c r="B15" s="84" t="s">
        <v>13</v>
      </c>
      <c r="C15" s="87">
        <f>SUM(C11:C14)</f>
        <v>462469988.54896146</v>
      </c>
      <c r="D15" s="88"/>
      <c r="E15" s="87">
        <f t="shared" ref="E15:L15" si="0">SUM(E11:E14)</f>
        <v>2100780.9236015039</v>
      </c>
      <c r="F15" s="87">
        <f t="shared" si="0"/>
        <v>0</v>
      </c>
      <c r="G15" s="87">
        <f t="shared" si="0"/>
        <v>0</v>
      </c>
      <c r="H15" s="87">
        <f t="shared" si="0"/>
        <v>0</v>
      </c>
      <c r="J15" s="87">
        <f t="shared" si="0"/>
        <v>2100780.9236015039</v>
      </c>
      <c r="L15" s="87">
        <f t="shared" si="0"/>
        <v>464570769.47256297</v>
      </c>
      <c r="M15" s="173"/>
    </row>
    <row r="16" spans="1:13" ht="12.45" x14ac:dyDescent="0.3">
      <c r="A16" s="84">
        <v>7</v>
      </c>
      <c r="B16" s="84"/>
      <c r="C16" s="89"/>
      <c r="D16" s="85"/>
      <c r="E16" s="89"/>
      <c r="F16" s="89"/>
      <c r="G16" s="89"/>
      <c r="H16" s="89"/>
      <c r="J16" s="89"/>
    </row>
    <row r="17" spans="1:13" ht="12.45" x14ac:dyDescent="0.3">
      <c r="A17" s="84">
        <v>8</v>
      </c>
      <c r="B17" s="84" t="s">
        <v>14</v>
      </c>
      <c r="C17" s="89"/>
      <c r="D17" s="85"/>
      <c r="E17" s="89"/>
      <c r="F17" s="89"/>
      <c r="G17" s="89"/>
      <c r="H17" s="89"/>
      <c r="J17" s="89"/>
    </row>
    <row r="18" spans="1:13" x14ac:dyDescent="0.25">
      <c r="A18" s="84">
        <v>9</v>
      </c>
      <c r="B18" s="84" t="s">
        <v>15</v>
      </c>
      <c r="C18" s="49">
        <f>Summary!F16</f>
        <v>58729769.394297048</v>
      </c>
      <c r="D18" s="85"/>
      <c r="E18" s="97">
        <f>'Exhibit No. SLC-5 pg 3'!D13</f>
        <v>120646.8440166338</v>
      </c>
      <c r="F18" s="97">
        <f>'Exhibit No. SLC-5 pg 3'!E13</f>
        <v>0</v>
      </c>
      <c r="G18" s="97">
        <f>'Exhibit No. SLC-5 pg 3'!F13</f>
        <v>0</v>
      </c>
      <c r="H18" s="97">
        <f>'Exhibit No. SLC-5 pg 3'!G13</f>
        <v>0</v>
      </c>
      <c r="J18" s="49">
        <f t="shared" ref="J18:J27" si="1">SUM(E18:H18)</f>
        <v>120646.8440166338</v>
      </c>
      <c r="L18" s="86">
        <f t="shared" ref="L18:L27" si="2">+C18+J18</f>
        <v>58850416.238313682</v>
      </c>
      <c r="M18" s="172"/>
    </row>
    <row r="19" spans="1:13" x14ac:dyDescent="0.25">
      <c r="A19" s="84">
        <v>10</v>
      </c>
      <c r="B19" s="84" t="s">
        <v>16</v>
      </c>
      <c r="C19" s="49">
        <f>Summary!F17</f>
        <v>0</v>
      </c>
      <c r="D19" s="85"/>
      <c r="E19" s="97">
        <f>'Exhibit No. SLC-5 pg 3'!D14</f>
        <v>0</v>
      </c>
      <c r="F19" s="97">
        <f>'Exhibit No. SLC-5 pg 3'!E14</f>
        <v>0</v>
      </c>
      <c r="G19" s="97">
        <f>'Exhibit No. SLC-5 pg 3'!F14</f>
        <v>0</v>
      </c>
      <c r="H19" s="97">
        <f>'Exhibit No. SLC-5 pg 3'!G14</f>
        <v>0</v>
      </c>
      <c r="J19" s="49">
        <f t="shared" si="1"/>
        <v>0</v>
      </c>
      <c r="L19" s="86">
        <f t="shared" si="2"/>
        <v>0</v>
      </c>
      <c r="M19" s="172"/>
    </row>
    <row r="20" spans="1:13" x14ac:dyDescent="0.25">
      <c r="A20" s="90">
        <v>11</v>
      </c>
      <c r="B20" s="84" t="s">
        <v>17</v>
      </c>
      <c r="C20" s="49">
        <f>Summary!F18</f>
        <v>3411022.4487837013</v>
      </c>
      <c r="D20" s="85"/>
      <c r="E20" s="97">
        <f>'Exhibit No. SLC-5 pg 3'!D15</f>
        <v>42898.766456511425</v>
      </c>
      <c r="F20" s="97">
        <f>'Exhibit No. SLC-5 pg 3'!E15</f>
        <v>0</v>
      </c>
      <c r="G20" s="97">
        <f>'Exhibit No. SLC-5 pg 3'!F15</f>
        <v>0</v>
      </c>
      <c r="H20" s="97">
        <f>'Exhibit No. SLC-5 pg 3'!G15</f>
        <v>0</v>
      </c>
      <c r="J20" s="49">
        <f t="shared" si="1"/>
        <v>42898.766456511425</v>
      </c>
      <c r="L20" s="86">
        <f t="shared" si="2"/>
        <v>3453921.2152402126</v>
      </c>
      <c r="M20" s="172"/>
    </row>
    <row r="21" spans="1:13" x14ac:dyDescent="0.25">
      <c r="A21" s="84">
        <v>12</v>
      </c>
      <c r="B21" s="84" t="s">
        <v>18</v>
      </c>
      <c r="C21" s="49">
        <f>Summary!F19</f>
        <v>175427977.32829875</v>
      </c>
      <c r="D21" s="85"/>
      <c r="E21" s="97">
        <f>'Exhibit No. SLC-5 pg 3'!D16</f>
        <v>72943.843227417281</v>
      </c>
      <c r="F21" s="97">
        <f>'Exhibit No. SLC-5 pg 3'!E16</f>
        <v>395579.72739742004</v>
      </c>
      <c r="G21" s="97">
        <f>'Exhibit No. SLC-5 pg 3'!F16</f>
        <v>0</v>
      </c>
      <c r="H21" s="97">
        <f>'Exhibit No. SLC-5 pg 3'!G16</f>
        <v>0</v>
      </c>
      <c r="J21" s="49">
        <f t="shared" si="1"/>
        <v>468523.5706248373</v>
      </c>
      <c r="L21" s="86">
        <f t="shared" si="2"/>
        <v>175896500.89892358</v>
      </c>
      <c r="M21" s="172"/>
    </row>
    <row r="22" spans="1:13" x14ac:dyDescent="0.25">
      <c r="A22" s="84">
        <v>13</v>
      </c>
      <c r="B22" s="84" t="s">
        <v>19</v>
      </c>
      <c r="C22" s="49">
        <f>Summary!F20</f>
        <v>19734290.433806315</v>
      </c>
      <c r="D22" s="85"/>
      <c r="E22" s="97">
        <f>'Exhibit No. SLC-5 pg 3'!D17</f>
        <v>41939.221287158143</v>
      </c>
      <c r="F22" s="97">
        <f>'Exhibit No. SLC-5 pg 3'!E17</f>
        <v>0</v>
      </c>
      <c r="G22" s="97">
        <f>'Exhibit No. SLC-5 pg 3'!F17</f>
        <v>0</v>
      </c>
      <c r="H22" s="97">
        <f>'Exhibit No. SLC-5 pg 3'!G17</f>
        <v>0</v>
      </c>
      <c r="J22" s="49">
        <f t="shared" si="1"/>
        <v>41939.221287158143</v>
      </c>
      <c r="L22" s="86">
        <f t="shared" si="2"/>
        <v>19776229.655093472</v>
      </c>
      <c r="M22" s="172"/>
    </row>
    <row r="23" spans="1:13" x14ac:dyDescent="0.25">
      <c r="A23" s="84">
        <v>14</v>
      </c>
      <c r="B23" s="84" t="s">
        <v>20</v>
      </c>
      <c r="C23" s="49">
        <f>Summary!F21</f>
        <v>18372395.666419588</v>
      </c>
      <c r="D23" s="85"/>
      <c r="E23" s="97">
        <f>'Exhibit No. SLC-5 pg 3'!D18</f>
        <v>283467.2928264293</v>
      </c>
      <c r="F23" s="97">
        <f>'Exhibit No. SLC-5 pg 3'!E18</f>
        <v>0</v>
      </c>
      <c r="G23" s="97">
        <f>'Exhibit No. SLC-5 pg 3'!F18</f>
        <v>0</v>
      </c>
      <c r="H23" s="97">
        <f>'Exhibit No. SLC-5 pg 3'!G18</f>
        <v>0</v>
      </c>
      <c r="J23" s="49">
        <f t="shared" si="1"/>
        <v>283467.2928264293</v>
      </c>
      <c r="L23" s="86">
        <f t="shared" si="2"/>
        <v>18655862.959246017</v>
      </c>
      <c r="M23" s="172"/>
    </row>
    <row r="24" spans="1:13" x14ac:dyDescent="0.25">
      <c r="A24" s="84">
        <v>15</v>
      </c>
      <c r="B24" s="84" t="s">
        <v>21</v>
      </c>
      <c r="C24" s="49">
        <f>Summary!F22</f>
        <v>6800285.0851826258</v>
      </c>
      <c r="D24" s="85"/>
      <c r="E24" s="97">
        <f>'Exhibit No. SLC-5 pg 3'!D19</f>
        <v>64890.714644478132</v>
      </c>
      <c r="F24" s="97">
        <f>'Exhibit No. SLC-5 pg 3'!E19</f>
        <v>0</v>
      </c>
      <c r="G24" s="97">
        <f>'Exhibit No. SLC-5 pg 3'!F19</f>
        <v>0</v>
      </c>
      <c r="H24" s="97">
        <f>'Exhibit No. SLC-5 pg 3'!G19</f>
        <v>0</v>
      </c>
      <c r="J24" s="49">
        <f t="shared" si="1"/>
        <v>64890.714644478132</v>
      </c>
      <c r="L24" s="86">
        <f t="shared" si="2"/>
        <v>6865175.7998271035</v>
      </c>
      <c r="M24" s="172"/>
    </row>
    <row r="25" spans="1:13" x14ac:dyDescent="0.25">
      <c r="A25" s="84">
        <v>16</v>
      </c>
      <c r="B25" s="84" t="s">
        <v>22</v>
      </c>
      <c r="C25" s="49">
        <f>Summary!F23</f>
        <v>702715.70527967275</v>
      </c>
      <c r="D25" s="85"/>
      <c r="E25" s="97">
        <f>'Exhibit No. SLC-5 pg 3'!D20</f>
        <v>26362.070195963275</v>
      </c>
      <c r="F25" s="97">
        <f>'Exhibit No. SLC-5 pg 3'!E20</f>
        <v>0</v>
      </c>
      <c r="G25" s="97">
        <f>'Exhibit No. SLC-5 pg 3'!F20</f>
        <v>0</v>
      </c>
      <c r="H25" s="97">
        <f>'Exhibit No. SLC-5 pg 3'!G20</f>
        <v>0</v>
      </c>
      <c r="J25" s="49">
        <f t="shared" si="1"/>
        <v>26362.070195963275</v>
      </c>
      <c r="L25" s="86">
        <f t="shared" si="2"/>
        <v>729077.77547563601</v>
      </c>
      <c r="M25" s="172"/>
    </row>
    <row r="26" spans="1:13" x14ac:dyDescent="0.25">
      <c r="A26" s="84">
        <v>17</v>
      </c>
      <c r="B26" s="84" t="s">
        <v>23</v>
      </c>
      <c r="C26" s="49">
        <f>Summary!F24</f>
        <v>0</v>
      </c>
      <c r="D26" s="85"/>
      <c r="E26" s="97">
        <f>'Exhibit No. SLC-5 pg 3'!D21</f>
        <v>0</v>
      </c>
      <c r="F26" s="97">
        <f>'Exhibit No. SLC-5 pg 3'!E21</f>
        <v>0</v>
      </c>
      <c r="G26" s="97">
        <f>'Exhibit No. SLC-5 pg 3'!F21</f>
        <v>0</v>
      </c>
      <c r="H26" s="97">
        <f>'Exhibit No. SLC-5 pg 3'!G21</f>
        <v>0</v>
      </c>
      <c r="J26" s="49">
        <f t="shared" si="1"/>
        <v>0</v>
      </c>
      <c r="L26" s="86">
        <f t="shared" si="2"/>
        <v>0</v>
      </c>
      <c r="M26" s="172"/>
    </row>
    <row r="27" spans="1:13" x14ac:dyDescent="0.25">
      <c r="A27" s="84">
        <v>18</v>
      </c>
      <c r="B27" s="84" t="s">
        <v>24</v>
      </c>
      <c r="C27" s="49">
        <f>Summary!F25</f>
        <v>14487190.813050214</v>
      </c>
      <c r="D27" s="85"/>
      <c r="E27" s="97">
        <f>'Exhibit No. SLC-5 pg 3'!D22</f>
        <v>56172.286642597501</v>
      </c>
      <c r="F27" s="97">
        <f>'Exhibit No. SLC-5 pg 3'!E22</f>
        <v>0</v>
      </c>
      <c r="G27" s="97">
        <f>'Exhibit No. SLC-5 pg 3'!F22</f>
        <v>0</v>
      </c>
      <c r="H27" s="97">
        <f>'Exhibit No. SLC-5 pg 3'!G22</f>
        <v>0</v>
      </c>
      <c r="J27" s="91">
        <f t="shared" si="1"/>
        <v>56172.286642597501</v>
      </c>
      <c r="L27" s="86">
        <f t="shared" si="2"/>
        <v>14543363.099692812</v>
      </c>
      <c r="M27" s="172"/>
    </row>
    <row r="28" spans="1:13" x14ac:dyDescent="0.25">
      <c r="A28" s="84">
        <v>19</v>
      </c>
      <c r="B28" s="84" t="s">
        <v>25</v>
      </c>
      <c r="C28" s="107">
        <f>SUM(C18:C27)</f>
        <v>297665646.87511784</v>
      </c>
      <c r="D28" s="88"/>
      <c r="E28" s="107">
        <f t="shared" ref="E28:H28" si="3">SUM(E18:E27)</f>
        <v>709321.03929718887</v>
      </c>
      <c r="F28" s="107">
        <f t="shared" si="3"/>
        <v>395579.72739742004</v>
      </c>
      <c r="G28" s="107">
        <f t="shared" si="3"/>
        <v>0</v>
      </c>
      <c r="H28" s="107">
        <f t="shared" si="3"/>
        <v>0</v>
      </c>
      <c r="J28" s="86">
        <f>SUM(J18:J27)</f>
        <v>1104900.7666946088</v>
      </c>
      <c r="L28" s="107">
        <f>SUM(L18:L27)</f>
        <v>298770547.6418125</v>
      </c>
      <c r="M28" s="174"/>
    </row>
    <row r="29" spans="1:13" x14ac:dyDescent="0.25">
      <c r="A29" s="84">
        <v>20</v>
      </c>
      <c r="B29" s="84" t="s">
        <v>26</v>
      </c>
      <c r="C29" s="49">
        <f>Summary!F27</f>
        <v>55566434.392042927</v>
      </c>
      <c r="D29" s="85"/>
      <c r="E29" s="97">
        <f>'Exhibit No. SLC-5 pg 3'!D24</f>
        <v>0</v>
      </c>
      <c r="F29" s="97">
        <f>'Exhibit No. SLC-5 pg 3'!E24</f>
        <v>7746703.228831457</v>
      </c>
      <c r="G29" s="97">
        <f>'Exhibit No. SLC-5 pg 3'!F24</f>
        <v>0</v>
      </c>
      <c r="H29" s="97">
        <f>'Exhibit No. SLC-5 pg 3'!G24</f>
        <v>0</v>
      </c>
      <c r="J29" s="49">
        <f t="shared" ref="J29:J36" si="4">SUM(E29:H29)</f>
        <v>7746703.228831457</v>
      </c>
      <c r="L29" s="86">
        <f t="shared" ref="L29:L36" si="5">+C29+J29</f>
        <v>63313137.620874383</v>
      </c>
      <c r="M29" s="172"/>
    </row>
    <row r="30" spans="1:13" x14ac:dyDescent="0.25">
      <c r="A30" s="84">
        <v>21</v>
      </c>
      <c r="B30" s="84" t="s">
        <v>27</v>
      </c>
      <c r="C30" s="49">
        <f>Summary!F28</f>
        <v>15472658.727303546</v>
      </c>
      <c r="D30" s="85"/>
      <c r="E30" s="97">
        <f>'Exhibit No. SLC-5 pg 3'!D25</f>
        <v>0</v>
      </c>
      <c r="F30" s="97">
        <f>'Exhibit No. SLC-5 pg 3'!E25</f>
        <v>1230830.8889248422</v>
      </c>
      <c r="G30" s="97">
        <f>'Exhibit No. SLC-5 pg 3'!F25</f>
        <v>0</v>
      </c>
      <c r="H30" s="97">
        <f>'Exhibit No. SLC-5 pg 3'!G25</f>
        <v>-7011257.8506784029</v>
      </c>
      <c r="J30" s="49">
        <f t="shared" si="4"/>
        <v>-5780426.9617535602</v>
      </c>
      <c r="L30" s="86">
        <f t="shared" si="5"/>
        <v>9692231.7655499857</v>
      </c>
      <c r="M30" s="172"/>
    </row>
    <row r="31" spans="1:13" x14ac:dyDescent="0.25">
      <c r="A31" s="84">
        <v>22</v>
      </c>
      <c r="B31" s="84" t="s">
        <v>28</v>
      </c>
      <c r="C31" s="49">
        <f>Summary!F29</f>
        <v>29608445.686848573</v>
      </c>
      <c r="D31" s="85"/>
      <c r="E31" s="97">
        <f>'Exhibit No. SLC-5 pg 3'!D26</f>
        <v>0</v>
      </c>
      <c r="F31" s="97">
        <f>'Exhibit No. SLC-5 pg 3'!E26</f>
        <v>0</v>
      </c>
      <c r="G31" s="97">
        <f>'Exhibit No. SLC-5 pg 3'!F26</f>
        <v>1882727</v>
      </c>
      <c r="H31" s="97">
        <f>'Exhibit No. SLC-5 pg 3'!G26</f>
        <v>0</v>
      </c>
      <c r="J31" s="49">
        <f t="shared" si="4"/>
        <v>1882727</v>
      </c>
      <c r="L31" s="86">
        <f t="shared" si="5"/>
        <v>31491172.686848573</v>
      </c>
      <c r="M31" s="172"/>
    </row>
    <row r="32" spans="1:13" x14ac:dyDescent="0.25">
      <c r="A32" s="84">
        <v>23</v>
      </c>
      <c r="B32" s="84" t="s">
        <v>29</v>
      </c>
      <c r="C32" s="49">
        <f>Summary!F30</f>
        <v>-10633825.761619281</v>
      </c>
      <c r="D32" s="85"/>
      <c r="E32" s="97">
        <f>'Exhibit No. SLC-5 pg 3'!D27</f>
        <v>292206.57570390613</v>
      </c>
      <c r="F32" s="97">
        <f>'Exhibit No. SLC-5 pg 3'!E27</f>
        <v>-2707897.7579236692</v>
      </c>
      <c r="G32" s="97">
        <f>'Exhibit No. SLC-5 pg 3'!F27</f>
        <v>-3128225.589828494</v>
      </c>
      <c r="H32" s="97">
        <f>'Exhibit No. SLC-5 pg 3'!G27</f>
        <v>1298884.6543424646</v>
      </c>
      <c r="J32" s="49">
        <f t="shared" si="4"/>
        <v>-4245032.1177057922</v>
      </c>
      <c r="L32" s="86">
        <f t="shared" si="5"/>
        <v>-14878857.879325073</v>
      </c>
      <c r="M32" s="172"/>
    </row>
    <row r="33" spans="1:13" x14ac:dyDescent="0.25">
      <c r="A33" s="84">
        <v>24</v>
      </c>
      <c r="B33" s="84" t="s">
        <v>30</v>
      </c>
      <c r="C33" s="49">
        <f>Summary!F31</f>
        <v>0</v>
      </c>
      <c r="D33" s="85"/>
      <c r="E33" s="97">
        <f>'Exhibit No. SLC-5 pg 3'!D28</f>
        <v>0</v>
      </c>
      <c r="F33" s="97">
        <f>'Exhibit No. SLC-5 pg 3'!E28</f>
        <v>0</v>
      </c>
      <c r="G33" s="97">
        <f>'Exhibit No. SLC-5 pg 3'!F28</f>
        <v>0</v>
      </c>
      <c r="H33" s="97">
        <f>'Exhibit No. SLC-5 pg 3'!G28</f>
        <v>0</v>
      </c>
      <c r="J33" s="49">
        <f t="shared" si="4"/>
        <v>0</v>
      </c>
      <c r="L33" s="86">
        <f t="shared" si="5"/>
        <v>0</v>
      </c>
      <c r="M33" s="172"/>
    </row>
    <row r="34" spans="1:13" x14ac:dyDescent="0.25">
      <c r="A34" s="84">
        <v>25</v>
      </c>
      <c r="B34" s="84" t="s">
        <v>31</v>
      </c>
      <c r="C34" s="49">
        <f>Summary!F32</f>
        <v>-2772523.6580158793</v>
      </c>
      <c r="D34" s="85"/>
      <c r="E34" s="97">
        <f>'Exhibit No. SLC-5 pg 3'!D29</f>
        <v>0</v>
      </c>
      <c r="F34" s="97">
        <f>'Exhibit No. SLC-5 pg 3'!E29</f>
        <v>865851.51731343858</v>
      </c>
      <c r="G34" s="97">
        <f>'Exhibit No. SLC-5 pg 3'!F29</f>
        <v>1811582.261743499</v>
      </c>
      <c r="H34" s="97">
        <f>'Exhibit No. SLC-5 pg 3'!G29</f>
        <v>203108.13974078008</v>
      </c>
      <c r="J34" s="49">
        <f t="shared" si="4"/>
        <v>2880541.9187977174</v>
      </c>
      <c r="L34" s="86">
        <f t="shared" si="5"/>
        <v>108018.26078183809</v>
      </c>
      <c r="M34" s="172"/>
    </row>
    <row r="35" spans="1:13" x14ac:dyDescent="0.25">
      <c r="A35" s="84">
        <v>26</v>
      </c>
      <c r="B35" s="84" t="s">
        <v>32</v>
      </c>
      <c r="C35" s="49">
        <f>Summary!F33</f>
        <v>0</v>
      </c>
      <c r="D35" s="85"/>
      <c r="E35" s="97">
        <f>'Exhibit No. SLC-5 pg 3'!D30</f>
        <v>0</v>
      </c>
      <c r="F35" s="97">
        <f>'Exhibit No. SLC-5 pg 3'!E30</f>
        <v>0</v>
      </c>
      <c r="G35" s="97">
        <f>'Exhibit No. SLC-5 pg 3'!F30</f>
        <v>0</v>
      </c>
      <c r="H35" s="97">
        <f>'Exhibit No. SLC-5 pg 3'!G30</f>
        <v>0</v>
      </c>
      <c r="J35" s="49">
        <f t="shared" si="4"/>
        <v>0</v>
      </c>
      <c r="L35" s="86">
        <f t="shared" si="5"/>
        <v>0</v>
      </c>
      <c r="M35" s="172"/>
    </row>
    <row r="36" spans="1:13" x14ac:dyDescent="0.25">
      <c r="A36" s="84">
        <v>27</v>
      </c>
      <c r="B36" s="84" t="s">
        <v>33</v>
      </c>
      <c r="C36" s="49">
        <f>Summary!F34</f>
        <v>-98259.164157068604</v>
      </c>
      <c r="D36" s="85"/>
      <c r="E36" s="97">
        <f>'Exhibit No. SLC-5 pg 3'!D31</f>
        <v>0</v>
      </c>
      <c r="F36" s="97">
        <f>'Exhibit No. SLC-5 pg 3'!E31</f>
        <v>0</v>
      </c>
      <c r="G36" s="97">
        <f>'Exhibit No. SLC-5 pg 3'!F31</f>
        <v>0</v>
      </c>
      <c r="H36" s="97">
        <f>'Exhibit No. SLC-5 pg 3'!G31</f>
        <v>0</v>
      </c>
      <c r="J36" s="49">
        <f t="shared" si="4"/>
        <v>0</v>
      </c>
      <c r="L36" s="86">
        <f t="shared" si="5"/>
        <v>-98259.164157068604</v>
      </c>
      <c r="M36" s="172"/>
    </row>
    <row r="37" spans="1:13" x14ac:dyDescent="0.25">
      <c r="A37" s="84">
        <v>28</v>
      </c>
      <c r="B37" s="84" t="s">
        <v>34</v>
      </c>
      <c r="C37" s="93">
        <f>SUM(C28:C36)</f>
        <v>384808577.09752065</v>
      </c>
      <c r="D37" s="88"/>
      <c r="E37" s="93">
        <f t="shared" ref="E37:H37" si="6">SUM(E28:E36)</f>
        <v>1001527.615001095</v>
      </c>
      <c r="F37" s="93">
        <f t="shared" si="6"/>
        <v>7531067.6045434885</v>
      </c>
      <c r="G37" s="93">
        <f t="shared" si="6"/>
        <v>566083.67191500496</v>
      </c>
      <c r="H37" s="93">
        <f t="shared" si="6"/>
        <v>-5509265.0565951578</v>
      </c>
      <c r="J37" s="93">
        <f>SUM(J28:J36)</f>
        <v>3589413.8348644311</v>
      </c>
      <c r="L37" s="93">
        <f>SUM(L28:L36)</f>
        <v>388397990.93238509</v>
      </c>
      <c r="M37" s="174"/>
    </row>
    <row r="38" spans="1:13" ht="12.45" x14ac:dyDescent="0.3">
      <c r="A38" s="84">
        <v>29</v>
      </c>
      <c r="B38" s="84"/>
      <c r="C38" s="89"/>
      <c r="D38" s="85"/>
      <c r="E38" s="89"/>
      <c r="F38" s="89"/>
      <c r="G38" s="89"/>
      <c r="H38" s="89"/>
      <c r="J38" s="89"/>
      <c r="L38" s="85"/>
      <c r="M38" s="174"/>
    </row>
    <row r="39" spans="1:13" ht="10.75" thickBot="1" x14ac:dyDescent="0.3">
      <c r="A39" s="84">
        <v>30</v>
      </c>
      <c r="B39" s="73" t="s">
        <v>35</v>
      </c>
      <c r="C39" s="94">
        <f>C15-C37</f>
        <v>77661411.451440811</v>
      </c>
      <c r="D39" s="95"/>
      <c r="E39" s="94">
        <f t="shared" ref="E39:H39" si="7">E15-E37</f>
        <v>1099253.308600409</v>
      </c>
      <c r="F39" s="94">
        <f t="shared" si="7"/>
        <v>-7531067.6045434885</v>
      </c>
      <c r="G39" s="94">
        <f t="shared" si="7"/>
        <v>-566083.67191500496</v>
      </c>
      <c r="H39" s="94">
        <f t="shared" si="7"/>
        <v>5509265.0565951578</v>
      </c>
      <c r="J39" s="94">
        <f>J15-J37</f>
        <v>-1488632.9112629271</v>
      </c>
      <c r="L39" s="94">
        <f>L15-L37</f>
        <v>76172778.540177882</v>
      </c>
      <c r="M39" s="175"/>
    </row>
    <row r="40" spans="1:13" ht="12.9" thickTop="1" x14ac:dyDescent="0.3">
      <c r="A40" s="84">
        <v>31</v>
      </c>
      <c r="B40" s="84"/>
      <c r="C40" s="89"/>
      <c r="D40" s="85"/>
      <c r="E40" s="89"/>
      <c r="F40" s="89"/>
      <c r="G40" s="89"/>
      <c r="H40" s="89"/>
      <c r="J40" s="89"/>
    </row>
    <row r="41" spans="1:13" ht="12.45" x14ac:dyDescent="0.3">
      <c r="A41" s="84">
        <v>32</v>
      </c>
      <c r="B41" s="84" t="s">
        <v>36</v>
      </c>
      <c r="C41" s="89"/>
      <c r="D41" s="85"/>
      <c r="E41" s="89"/>
      <c r="F41" s="89"/>
      <c r="G41" s="89"/>
      <c r="H41" s="89"/>
      <c r="J41" s="89"/>
    </row>
    <row r="42" spans="1:13" x14ac:dyDescent="0.25">
      <c r="A42" s="84">
        <v>33</v>
      </c>
      <c r="B42" s="84" t="s">
        <v>37</v>
      </c>
      <c r="C42" s="49">
        <f>Summary!F40</f>
        <v>2404039143.8175812</v>
      </c>
      <c r="D42" s="85"/>
      <c r="E42" s="97">
        <f>'Exhibit No. SLC-5 pg 3'!D37</f>
        <v>0</v>
      </c>
      <c r="F42" s="97">
        <f>'Exhibit No. SLC-5 pg 3'!E37</f>
        <v>334148578.84063983</v>
      </c>
      <c r="G42" s="97">
        <f>'Exhibit No. SLC-5 pg 3'!F37</f>
        <v>0</v>
      </c>
      <c r="H42" s="97">
        <f>'Exhibit No. SLC-5 pg 3'!G37</f>
        <v>0</v>
      </c>
      <c r="J42" s="49">
        <f t="shared" ref="J42:J52" si="8">SUM(E42:H42)</f>
        <v>334148578.84063983</v>
      </c>
      <c r="L42" s="86">
        <f t="shared" ref="L42:L52" si="9">+C42+J42</f>
        <v>2738187722.6582212</v>
      </c>
      <c r="M42" s="172"/>
    </row>
    <row r="43" spans="1:13" x14ac:dyDescent="0.25">
      <c r="A43" s="84">
        <v>34</v>
      </c>
      <c r="B43" s="84" t="s">
        <v>38</v>
      </c>
      <c r="C43" s="49">
        <f>Summary!F41</f>
        <v>467184.71621561563</v>
      </c>
      <c r="D43" s="85"/>
      <c r="E43" s="97">
        <f>'Exhibit No. SLC-5 pg 3'!D38</f>
        <v>0</v>
      </c>
      <c r="F43" s="97">
        <f>'Exhibit No. SLC-5 pg 3'!E38</f>
        <v>0</v>
      </c>
      <c r="G43" s="97">
        <f>'Exhibit No. SLC-5 pg 3'!F38</f>
        <v>0</v>
      </c>
      <c r="H43" s="97">
        <f>'Exhibit No. SLC-5 pg 3'!G38</f>
        <v>0</v>
      </c>
      <c r="J43" s="49">
        <f t="shared" si="8"/>
        <v>0</v>
      </c>
      <c r="L43" s="86">
        <f t="shared" si="9"/>
        <v>467184.71621561563</v>
      </c>
      <c r="M43" s="172"/>
    </row>
    <row r="44" spans="1:13" x14ac:dyDescent="0.25">
      <c r="A44" s="84">
        <v>35</v>
      </c>
      <c r="B44" s="84" t="s">
        <v>39</v>
      </c>
      <c r="C44" s="49">
        <f>Summary!F42</f>
        <v>392246.6085648014</v>
      </c>
      <c r="D44" s="85"/>
      <c r="E44" s="97">
        <f>'Exhibit No. SLC-5 pg 3'!D39</f>
        <v>0</v>
      </c>
      <c r="F44" s="97">
        <f>'Exhibit No. SLC-5 pg 3'!E39</f>
        <v>0</v>
      </c>
      <c r="G44" s="97">
        <f>'Exhibit No. SLC-5 pg 3'!F39</f>
        <v>0</v>
      </c>
      <c r="H44" s="97">
        <f>'Exhibit No. SLC-5 pg 3'!G39</f>
        <v>-489243.1450514372</v>
      </c>
      <c r="J44" s="49">
        <f t="shared" si="8"/>
        <v>-489243.1450514372</v>
      </c>
      <c r="L44" s="86">
        <f t="shared" si="9"/>
        <v>-96996.5364866358</v>
      </c>
      <c r="M44" s="172"/>
    </row>
    <row r="45" spans="1:13" x14ac:dyDescent="0.25">
      <c r="A45" s="84">
        <v>36</v>
      </c>
      <c r="B45" s="84" t="s">
        <v>40</v>
      </c>
      <c r="C45" s="49">
        <f>Summary!F43</f>
        <v>115844.19848648913</v>
      </c>
      <c r="D45" s="85"/>
      <c r="E45" s="97">
        <f>'Exhibit No. SLC-5 pg 3'!D40</f>
        <v>0</v>
      </c>
      <c r="F45" s="97">
        <f>'Exhibit No. SLC-5 pg 3'!E40</f>
        <v>0</v>
      </c>
      <c r="G45" s="97">
        <f>'Exhibit No. SLC-5 pg 3'!F40</f>
        <v>0</v>
      </c>
      <c r="H45" s="97">
        <f>'Exhibit No. SLC-5 pg 3'!G40</f>
        <v>0</v>
      </c>
      <c r="J45" s="49">
        <f t="shared" si="8"/>
        <v>0</v>
      </c>
      <c r="L45" s="86">
        <f t="shared" si="9"/>
        <v>115844.19848648913</v>
      </c>
      <c r="M45" s="172"/>
    </row>
    <row r="46" spans="1:13" x14ac:dyDescent="0.25">
      <c r="A46" s="84">
        <v>37</v>
      </c>
      <c r="B46" s="84" t="s">
        <v>41</v>
      </c>
      <c r="C46" s="49">
        <f>Summary!F44</f>
        <v>0</v>
      </c>
      <c r="D46" s="85"/>
      <c r="E46" s="97">
        <f>'Exhibit No. SLC-5 pg 3'!D41</f>
        <v>0</v>
      </c>
      <c r="F46" s="97">
        <f>'Exhibit No. SLC-5 pg 3'!E41</f>
        <v>0</v>
      </c>
      <c r="G46" s="97">
        <f>'Exhibit No. SLC-5 pg 3'!F41</f>
        <v>0</v>
      </c>
      <c r="H46" s="97">
        <f>'Exhibit No. SLC-5 pg 3'!G41</f>
        <v>0</v>
      </c>
      <c r="J46" s="49">
        <f t="shared" si="8"/>
        <v>0</v>
      </c>
      <c r="L46" s="86">
        <f t="shared" si="9"/>
        <v>0</v>
      </c>
      <c r="M46" s="172"/>
    </row>
    <row r="47" spans="1:13" x14ac:dyDescent="0.25">
      <c r="A47" s="84">
        <v>38</v>
      </c>
      <c r="B47" s="84" t="s">
        <v>42</v>
      </c>
      <c r="C47" s="49">
        <f>Summary!F45</f>
        <v>4.6566128730773926E-9</v>
      </c>
      <c r="D47" s="85"/>
      <c r="E47" s="97">
        <f>'Exhibit No. SLC-5 pg 3'!D42</f>
        <v>0</v>
      </c>
      <c r="F47" s="97">
        <f>'Exhibit No. SLC-5 pg 3'!E42</f>
        <v>0</v>
      </c>
      <c r="G47" s="97">
        <f>'Exhibit No. SLC-5 pg 3'!F42</f>
        <v>0</v>
      </c>
      <c r="H47" s="97">
        <f>'Exhibit No. SLC-5 pg 3'!G42</f>
        <v>0</v>
      </c>
      <c r="J47" s="49">
        <f t="shared" si="8"/>
        <v>0</v>
      </c>
      <c r="L47" s="86">
        <f t="shared" si="9"/>
        <v>4.6566128730773926E-9</v>
      </c>
      <c r="M47" s="172"/>
    </row>
    <row r="48" spans="1:13" x14ac:dyDescent="0.25">
      <c r="A48" s="84">
        <v>39</v>
      </c>
      <c r="B48" s="84" t="s">
        <v>43</v>
      </c>
      <c r="C48" s="49">
        <f>Summary!F46</f>
        <v>0</v>
      </c>
      <c r="D48" s="85"/>
      <c r="E48" s="97">
        <f>'Exhibit No. SLC-5 pg 3'!D43</f>
        <v>0</v>
      </c>
      <c r="F48" s="97">
        <f>'Exhibit No. SLC-5 pg 3'!E43</f>
        <v>0</v>
      </c>
      <c r="G48" s="97">
        <f>'Exhibit No. SLC-5 pg 3'!F43</f>
        <v>0</v>
      </c>
      <c r="H48" s="97">
        <f>'Exhibit No. SLC-5 pg 3'!G43</f>
        <v>0</v>
      </c>
      <c r="J48" s="49">
        <f t="shared" si="8"/>
        <v>0</v>
      </c>
      <c r="L48" s="86">
        <f t="shared" si="9"/>
        <v>0</v>
      </c>
      <c r="M48" s="172"/>
    </row>
    <row r="49" spans="1:13" x14ac:dyDescent="0.25">
      <c r="A49" s="84">
        <v>40</v>
      </c>
      <c r="B49" s="84" t="s">
        <v>44</v>
      </c>
      <c r="C49" s="49">
        <f>Summary!F47</f>
        <v>8.6884945631027222E-5</v>
      </c>
      <c r="D49" s="85"/>
      <c r="E49" s="97">
        <f>'Exhibit No. SLC-5 pg 3'!D44</f>
        <v>0</v>
      </c>
      <c r="F49" s="97">
        <f>'Exhibit No. SLC-5 pg 3'!E44</f>
        <v>0</v>
      </c>
      <c r="G49" s="97">
        <f>'Exhibit No. SLC-5 pg 3'!F44</f>
        <v>0</v>
      </c>
      <c r="H49" s="97">
        <f>'Exhibit No. SLC-5 pg 3'!G44</f>
        <v>0</v>
      </c>
      <c r="J49" s="49">
        <f t="shared" si="8"/>
        <v>0</v>
      </c>
      <c r="L49" s="86">
        <f t="shared" si="9"/>
        <v>8.6884945631027222E-5</v>
      </c>
      <c r="M49" s="172"/>
    </row>
    <row r="50" spans="1:13" x14ac:dyDescent="0.25">
      <c r="A50" s="84">
        <v>41</v>
      </c>
      <c r="B50" s="84" t="s">
        <v>45</v>
      </c>
      <c r="C50" s="49">
        <f>Summary!F48</f>
        <v>29873668.417190563</v>
      </c>
      <c r="D50" s="85"/>
      <c r="E50" s="97">
        <f>'Exhibit No. SLC-5 pg 3'!D45</f>
        <v>0</v>
      </c>
      <c r="F50" s="97">
        <f>'Exhibit No. SLC-5 pg 3'!E45</f>
        <v>0</v>
      </c>
      <c r="G50" s="97">
        <f>'Exhibit No. SLC-5 pg 3'!F45</f>
        <v>0</v>
      </c>
      <c r="H50" s="97">
        <f>'Exhibit No. SLC-5 pg 3'!G45</f>
        <v>0</v>
      </c>
      <c r="J50" s="49">
        <f t="shared" si="8"/>
        <v>0</v>
      </c>
      <c r="L50" s="86">
        <f t="shared" si="9"/>
        <v>29873668.417190563</v>
      </c>
      <c r="M50" s="172"/>
    </row>
    <row r="51" spans="1:13" x14ac:dyDescent="0.25">
      <c r="A51" s="84">
        <v>42</v>
      </c>
      <c r="B51" s="84" t="s">
        <v>46</v>
      </c>
      <c r="C51" s="49">
        <f>Summary!F49</f>
        <v>3311.89</v>
      </c>
      <c r="D51" s="85"/>
      <c r="E51" s="97">
        <f>'Exhibit No. SLC-5 pg 3'!D46</f>
        <v>0</v>
      </c>
      <c r="F51" s="97">
        <f>'Exhibit No. SLC-5 pg 3'!E46</f>
        <v>0</v>
      </c>
      <c r="G51" s="97">
        <f>'Exhibit No. SLC-5 pg 3'!F46</f>
        <v>0</v>
      </c>
      <c r="H51" s="97">
        <f>'Exhibit No. SLC-5 pg 3'!G46</f>
        <v>0</v>
      </c>
      <c r="J51" s="49">
        <f t="shared" si="8"/>
        <v>0</v>
      </c>
      <c r="L51" s="86">
        <f t="shared" si="9"/>
        <v>3311.89</v>
      </c>
      <c r="M51" s="172"/>
    </row>
    <row r="52" spans="1:13" x14ac:dyDescent="0.25">
      <c r="A52" s="84">
        <v>43</v>
      </c>
      <c r="B52" s="84" t="s">
        <v>47</v>
      </c>
      <c r="C52" s="49">
        <f>Summary!F50</f>
        <v>0</v>
      </c>
      <c r="D52" s="85"/>
      <c r="E52" s="97">
        <f>'Exhibit No. SLC-5 pg 3'!D47</f>
        <v>0</v>
      </c>
      <c r="F52" s="97">
        <f>'Exhibit No. SLC-5 pg 3'!E47</f>
        <v>0</v>
      </c>
      <c r="G52" s="97">
        <f>'Exhibit No. SLC-5 pg 3'!F47</f>
        <v>0</v>
      </c>
      <c r="H52" s="97">
        <f>'Exhibit No. SLC-5 pg 3'!G47</f>
        <v>0</v>
      </c>
      <c r="J52" s="49">
        <f t="shared" si="8"/>
        <v>0</v>
      </c>
      <c r="L52" s="86">
        <f t="shared" si="9"/>
        <v>0</v>
      </c>
      <c r="M52" s="172"/>
    </row>
    <row r="53" spans="1:13" x14ac:dyDescent="0.25">
      <c r="A53" s="84">
        <v>44</v>
      </c>
      <c r="B53" s="84" t="s">
        <v>48</v>
      </c>
      <c r="C53" s="93">
        <f>SUM(C42:C52)</f>
        <v>2434891399.6481252</v>
      </c>
      <c r="D53" s="88"/>
      <c r="E53" s="93">
        <f t="shared" ref="E53:H53" si="10">SUM(E42:E52)</f>
        <v>0</v>
      </c>
      <c r="F53" s="93">
        <f t="shared" si="10"/>
        <v>334148578.84063983</v>
      </c>
      <c r="G53" s="93">
        <f t="shared" si="10"/>
        <v>0</v>
      </c>
      <c r="H53" s="93">
        <f t="shared" si="10"/>
        <v>-489243.1450514372</v>
      </c>
      <c r="J53" s="93">
        <f>SUM(J42:J52)</f>
        <v>333659335.69558841</v>
      </c>
      <c r="L53" s="93">
        <f>SUM(L42:L52)</f>
        <v>2768550735.3437138</v>
      </c>
      <c r="M53" s="174"/>
    </row>
    <row r="54" spans="1:13" ht="12.45" x14ac:dyDescent="0.3">
      <c r="A54" s="84">
        <v>45</v>
      </c>
      <c r="B54" s="84"/>
      <c r="C54" s="89"/>
      <c r="D54" s="85"/>
      <c r="E54" s="89"/>
      <c r="F54" s="89"/>
      <c r="G54" s="89"/>
      <c r="H54" s="89"/>
      <c r="J54" s="89"/>
    </row>
    <row r="55" spans="1:13" ht="12.45" x14ac:dyDescent="0.3">
      <c r="A55" s="84">
        <v>46</v>
      </c>
      <c r="B55" s="84" t="s">
        <v>49</v>
      </c>
      <c r="C55" s="89"/>
      <c r="D55" s="85"/>
      <c r="E55" s="89"/>
      <c r="F55" s="89"/>
      <c r="G55" s="89"/>
      <c r="H55" s="89"/>
      <c r="J55" s="89"/>
    </row>
    <row r="56" spans="1:13" x14ac:dyDescent="0.25">
      <c r="A56" s="84">
        <v>47</v>
      </c>
      <c r="B56" s="84" t="s">
        <v>50</v>
      </c>
      <c r="C56" s="49">
        <f>Summary!F54</f>
        <v>-1005478694.3497806</v>
      </c>
      <c r="D56" s="85"/>
      <c r="E56" s="97">
        <f>'Exhibit No. SLC-5 pg 3'!D51</f>
        <v>0</v>
      </c>
      <c r="F56" s="97">
        <f>'Exhibit No. SLC-5 pg 3'!E51</f>
        <v>-51251438.768470183</v>
      </c>
      <c r="G56" s="97">
        <f>'Exhibit No. SLC-5 pg 3'!F51</f>
        <v>0</v>
      </c>
      <c r="H56" s="97">
        <f>'Exhibit No. SLC-5 pg 3'!G51</f>
        <v>0</v>
      </c>
      <c r="J56" s="49">
        <f t="shared" ref="J56:J62" si="11">SUM(E56:H56)</f>
        <v>-51251438.768470183</v>
      </c>
      <c r="L56" s="86">
        <f t="shared" ref="L56:L63" si="12">+C56+J56</f>
        <v>-1056730133.1182507</v>
      </c>
      <c r="M56" s="172"/>
    </row>
    <row r="57" spans="1:13" x14ac:dyDescent="0.25">
      <c r="A57" s="84">
        <v>48</v>
      </c>
      <c r="B57" s="84" t="s">
        <v>51</v>
      </c>
      <c r="C57" s="49">
        <f>Summary!F55</f>
        <v>-64932897.347893581</v>
      </c>
      <c r="D57" s="85"/>
      <c r="E57" s="97">
        <f>'Exhibit No. SLC-5 pg 3'!D52</f>
        <v>0</v>
      </c>
      <c r="F57" s="97">
        <f>'Exhibit No. SLC-5 pg 3'!E52</f>
        <v>-4541116.6972164949</v>
      </c>
      <c r="G57" s="97">
        <f>'Exhibit No. SLC-5 pg 3'!F52</f>
        <v>0</v>
      </c>
      <c r="H57" s="97">
        <f>'Exhibit No. SLC-5 pg 3'!G52</f>
        <v>0</v>
      </c>
      <c r="J57" s="49">
        <f t="shared" si="11"/>
        <v>-4541116.6972164949</v>
      </c>
      <c r="L57" s="86">
        <f t="shared" si="12"/>
        <v>-69474014.045110077</v>
      </c>
      <c r="M57" s="172"/>
    </row>
    <row r="58" spans="1:13" x14ac:dyDescent="0.25">
      <c r="A58" s="84">
        <v>49</v>
      </c>
      <c r="B58" s="84" t="s">
        <v>52</v>
      </c>
      <c r="C58" s="49">
        <f>Summary!F56</f>
        <v>-164918677.50932115</v>
      </c>
      <c r="D58" s="85"/>
      <c r="E58" s="97">
        <f>'Exhibit No. SLC-5 pg 3'!D53</f>
        <v>0</v>
      </c>
      <c r="F58" s="97">
        <f>'Exhibit No. SLC-5 pg 3'!E53</f>
        <v>2408420.0747139137</v>
      </c>
      <c r="G58" s="97">
        <f>'Exhibit No. SLC-5 pg 3'!F53</f>
        <v>-21538851.557278231</v>
      </c>
      <c r="H58" s="97">
        <f>'Exhibit No. SLC-5 pg 3'!G53</f>
        <v>120288.25510121686</v>
      </c>
      <c r="J58" s="49">
        <f t="shared" si="11"/>
        <v>-19010143.2274631</v>
      </c>
      <c r="L58" s="86">
        <f t="shared" si="12"/>
        <v>-183928820.73678425</v>
      </c>
      <c r="M58" s="172"/>
    </row>
    <row r="59" spans="1:13" x14ac:dyDescent="0.25">
      <c r="A59" s="84">
        <v>50</v>
      </c>
      <c r="B59" s="84" t="s">
        <v>53</v>
      </c>
      <c r="C59" s="49">
        <f>Summary!F57</f>
        <v>-14943.338687945423</v>
      </c>
      <c r="D59" s="85"/>
      <c r="E59" s="97">
        <f>'Exhibit No. SLC-5 pg 3'!D54</f>
        <v>0</v>
      </c>
      <c r="F59" s="97">
        <f>'Exhibit No. SLC-5 pg 3'!E54</f>
        <v>0</v>
      </c>
      <c r="G59" s="97">
        <f>'Exhibit No. SLC-5 pg 3'!F54</f>
        <v>0</v>
      </c>
      <c r="H59" s="97">
        <f>'Exhibit No. SLC-5 pg 3'!G54</f>
        <v>0</v>
      </c>
      <c r="J59" s="49">
        <f t="shared" si="11"/>
        <v>0</v>
      </c>
      <c r="L59" s="86">
        <f t="shared" si="12"/>
        <v>-14943.338687945423</v>
      </c>
      <c r="M59" s="172"/>
    </row>
    <row r="60" spans="1:13" x14ac:dyDescent="0.25">
      <c r="A60" s="84">
        <v>51</v>
      </c>
      <c r="B60" s="84" t="s">
        <v>54</v>
      </c>
      <c r="C60" s="49">
        <f>Summary!F58</f>
        <v>-7825156.6492933892</v>
      </c>
      <c r="D60" s="85"/>
      <c r="E60" s="97">
        <f>'Exhibit No. SLC-5 pg 3'!D55</f>
        <v>0</v>
      </c>
      <c r="F60" s="97">
        <f>'Exhibit No. SLC-5 pg 3'!E55</f>
        <v>0</v>
      </c>
      <c r="G60" s="97">
        <f>'Exhibit No. SLC-5 pg 3'!F55</f>
        <v>0</v>
      </c>
      <c r="H60" s="97">
        <f>'Exhibit No. SLC-5 pg 3'!G55</f>
        <v>0</v>
      </c>
      <c r="J60" s="49">
        <f t="shared" si="11"/>
        <v>0</v>
      </c>
      <c r="L60" s="86">
        <f t="shared" si="12"/>
        <v>-7825156.6492933892</v>
      </c>
      <c r="M60" s="172"/>
    </row>
    <row r="61" spans="1:13" x14ac:dyDescent="0.25">
      <c r="A61" s="84">
        <v>52</v>
      </c>
      <c r="B61" s="84" t="s">
        <v>55</v>
      </c>
      <c r="C61" s="49">
        <f>Summary!F59</f>
        <v>-408390.63249999989</v>
      </c>
      <c r="D61" s="85"/>
      <c r="E61" s="97">
        <f>'Exhibit No. SLC-5 pg 3'!D56</f>
        <v>0</v>
      </c>
      <c r="F61" s="97">
        <f>'Exhibit No. SLC-5 pg 3'!E56</f>
        <v>0</v>
      </c>
      <c r="G61" s="97">
        <f>'Exhibit No. SLC-5 pg 3'!F56</f>
        <v>0</v>
      </c>
      <c r="H61" s="97">
        <f>'Exhibit No. SLC-5 pg 3'!G56</f>
        <v>0</v>
      </c>
      <c r="J61" s="49">
        <f t="shared" si="11"/>
        <v>0</v>
      </c>
      <c r="L61" s="86">
        <f t="shared" si="12"/>
        <v>-408390.63249999989</v>
      </c>
      <c r="M61" s="172"/>
    </row>
    <row r="62" spans="1:13" x14ac:dyDescent="0.25">
      <c r="A62" s="84">
        <v>53</v>
      </c>
      <c r="B62" s="84" t="s">
        <v>56</v>
      </c>
      <c r="C62" s="49">
        <f>Summary!F60</f>
        <v>-95331195.227221251</v>
      </c>
      <c r="D62" s="85"/>
      <c r="E62" s="97">
        <f>'Exhibit No. SLC-5 pg 3'!D57</f>
        <v>0</v>
      </c>
      <c r="F62" s="97">
        <f>'Exhibit No. SLC-5 pg 3'!E57</f>
        <v>-5933674.8417438725</v>
      </c>
      <c r="G62" s="97">
        <f>'Exhibit No. SLC-5 pg 3'!F57</f>
        <v>2598391</v>
      </c>
      <c r="H62" s="97">
        <f>'Exhibit No. SLC-5 pg 3'!G57</f>
        <v>0</v>
      </c>
      <c r="J62" s="49">
        <f t="shared" si="11"/>
        <v>-3335283.8417438725</v>
      </c>
      <c r="L62" s="86">
        <f t="shared" si="12"/>
        <v>-98666479.068965122</v>
      </c>
      <c r="M62" s="172"/>
    </row>
    <row r="63" spans="1:13" ht="12.45" x14ac:dyDescent="0.3">
      <c r="A63" s="84">
        <v>54</v>
      </c>
      <c r="B63" s="84"/>
      <c r="C63" s="89"/>
      <c r="D63" s="85"/>
      <c r="E63" s="97">
        <f>'Exhibit No. SLC-5 pg 3'!D58</f>
        <v>0</v>
      </c>
      <c r="F63" s="97">
        <f>'Exhibit No. SLC-5 pg 3'!E58</f>
        <v>0</v>
      </c>
      <c r="G63" s="97">
        <f>'Exhibit No. SLC-5 pg 3'!F58</f>
        <v>0</v>
      </c>
      <c r="H63" s="97">
        <f>'Exhibit No. SLC-5 pg 3'!G58</f>
        <v>0</v>
      </c>
      <c r="J63" s="89"/>
      <c r="L63" s="86">
        <f t="shared" si="12"/>
        <v>0</v>
      </c>
      <c r="M63" s="172"/>
    </row>
    <row r="64" spans="1:13" x14ac:dyDescent="0.25">
      <c r="A64" s="84">
        <v>55</v>
      </c>
      <c r="B64" s="84" t="s">
        <v>57</v>
      </c>
      <c r="C64" s="93">
        <f>SUM(C56:C63)</f>
        <v>-1338909955.0546978</v>
      </c>
      <c r="D64" s="88"/>
      <c r="E64" s="93">
        <f t="shared" ref="E64:H64" si="13">SUM(E56:E63)</f>
        <v>0</v>
      </c>
      <c r="F64" s="93">
        <f t="shared" si="13"/>
        <v>-59317810.232716635</v>
      </c>
      <c r="G64" s="93">
        <f t="shared" si="13"/>
        <v>-18940460.557278231</v>
      </c>
      <c r="H64" s="93">
        <f t="shared" si="13"/>
        <v>120288.25510121686</v>
      </c>
      <c r="J64" s="93">
        <f>SUM(J56:J63)</f>
        <v>-78137982.534893647</v>
      </c>
      <c r="L64" s="93">
        <f>SUM(L56:L63)</f>
        <v>-1417047937.5895915</v>
      </c>
      <c r="M64" s="174"/>
    </row>
    <row r="65" spans="1:13" ht="12.45" x14ac:dyDescent="0.3">
      <c r="A65" s="84">
        <v>56</v>
      </c>
      <c r="B65" s="84"/>
      <c r="C65" s="89"/>
      <c r="D65" s="85"/>
      <c r="E65" s="89"/>
      <c r="F65" s="89"/>
      <c r="G65" s="89"/>
      <c r="H65" s="89"/>
      <c r="J65" s="89"/>
      <c r="L65" s="85"/>
      <c r="M65" s="174"/>
    </row>
    <row r="66" spans="1:13" ht="10.75" thickBot="1" x14ac:dyDescent="0.3">
      <c r="A66" s="84">
        <v>57</v>
      </c>
      <c r="B66" s="84" t="s">
        <v>58</v>
      </c>
      <c r="C66" s="94">
        <f>C53+C64</f>
        <v>1095981444.5934274</v>
      </c>
      <c r="D66" s="88"/>
      <c r="E66" s="94">
        <f t="shared" ref="E66:H66" si="14">E53+E64</f>
        <v>0</v>
      </c>
      <c r="F66" s="94">
        <f t="shared" si="14"/>
        <v>274830768.60792321</v>
      </c>
      <c r="G66" s="94">
        <f t="shared" si="14"/>
        <v>-18940460.557278231</v>
      </c>
      <c r="H66" s="94">
        <f t="shared" si="14"/>
        <v>-368954.88995022036</v>
      </c>
      <c r="J66" s="94">
        <f>J53+J64</f>
        <v>255521353.16069478</v>
      </c>
      <c r="L66" s="94">
        <f>L53+L64</f>
        <v>1351502797.7541223</v>
      </c>
      <c r="M66" s="174"/>
    </row>
    <row r="67" spans="1:13" ht="12.9" thickTop="1" x14ac:dyDescent="0.3">
      <c r="A67" s="84">
        <v>58</v>
      </c>
      <c r="B67" s="84"/>
      <c r="C67" s="89"/>
      <c r="D67" s="85"/>
      <c r="E67" s="89"/>
      <c r="F67" s="89"/>
      <c r="G67" s="89"/>
      <c r="H67" s="89"/>
      <c r="J67" s="89"/>
    </row>
    <row r="68" spans="1:13" x14ac:dyDescent="0.25">
      <c r="A68" s="84">
        <v>59</v>
      </c>
      <c r="B68" s="84" t="s">
        <v>59</v>
      </c>
      <c r="C68" s="104">
        <f>Unadj_ROE</f>
        <v>9.5000000000000001E-2</v>
      </c>
      <c r="D68" s="105"/>
      <c r="E68" s="104">
        <f>'Exhibit No. SLC-5 pg 3'!D63</f>
        <v>2.6463891093827796E-3</v>
      </c>
      <c r="F68" s="104">
        <f>'Exhibit No. SLC-5 pg 3'!E63</f>
        <v>-3.9519467105952041E-2</v>
      </c>
      <c r="G68" s="104">
        <f>'Exhibit No. SLC-5 pg 3'!F63</f>
        <v>2.0711234803668238E-3</v>
      </c>
      <c r="H68" s="104">
        <f>'Exhibit No. SLC-5 pg 3'!G63</f>
        <v>1.0893551855071071E-2</v>
      </c>
      <c r="I68" s="106"/>
      <c r="J68" s="104"/>
      <c r="K68" s="106"/>
      <c r="L68" s="104">
        <f>Summary!J67</f>
        <v>6.6074907663805638E-2</v>
      </c>
      <c r="M68" s="176"/>
    </row>
    <row r="69" spans="1:13" x14ac:dyDescent="0.25">
      <c r="A69" s="84">
        <v>60</v>
      </c>
      <c r="B69" s="73" t="s">
        <v>82</v>
      </c>
      <c r="C69" s="49">
        <f>Summary!D9</f>
        <v>16621098.021759475</v>
      </c>
      <c r="D69" s="96"/>
      <c r="E69" s="97">
        <f>'Exhibit No. SLC-5 pg 3'!D64</f>
        <v>-1462122.9930041884</v>
      </c>
      <c r="F69" s="97">
        <f>'Exhibit No. SLC-5 pg 3'!E64</f>
        <v>35920326.462482907</v>
      </c>
      <c r="G69" s="97">
        <f>'Exhibit No. SLC-5 pg 3'!F64</f>
        <v>-1032215.6814761771</v>
      </c>
      <c r="H69" s="97">
        <f>'Exhibit No. SLC-5 pg 3'!G64</f>
        <v>-7362678.9113482116</v>
      </c>
      <c r="J69" s="49">
        <f>-(J39-(J66*Overall_ROR))/gross_up_factor</f>
        <v>26063308.876654331</v>
      </c>
      <c r="L69" s="49">
        <f>-(L39-(L66*Overall_ROR))/gross_up_factor-20</f>
        <v>26063300.940021351</v>
      </c>
      <c r="M69" s="177"/>
    </row>
    <row r="70" spans="1:13" x14ac:dyDescent="0.25">
      <c r="A70" s="84">
        <v>61</v>
      </c>
      <c r="B70" s="84"/>
      <c r="C70" s="97"/>
      <c r="D70" s="85"/>
      <c r="E70" s="97"/>
      <c r="F70" s="97"/>
      <c r="G70" s="97"/>
      <c r="H70" s="97"/>
      <c r="J70" s="97"/>
    </row>
    <row r="71" spans="1:13" ht="12.45" x14ac:dyDescent="0.3">
      <c r="A71" s="84">
        <v>62</v>
      </c>
      <c r="B71" s="84" t="s">
        <v>60</v>
      </c>
      <c r="C71" s="89"/>
      <c r="D71" s="85"/>
      <c r="E71" s="89"/>
      <c r="F71" s="89"/>
      <c r="G71" s="89"/>
      <c r="H71" s="89"/>
      <c r="J71" s="89"/>
      <c r="M71" s="172"/>
    </row>
    <row r="72" spans="1:13" x14ac:dyDescent="0.25">
      <c r="A72" s="84">
        <v>63</v>
      </c>
      <c r="B72" s="84" t="s">
        <v>61</v>
      </c>
      <c r="C72" s="86">
        <f>Summary!F71</f>
        <v>64255062.601567924</v>
      </c>
      <c r="D72" s="86"/>
      <c r="E72" s="97">
        <f>'Exhibit No. SLC-5 pg 3'!D67</f>
        <v>1391459.8843043151</v>
      </c>
      <c r="F72" s="97">
        <f>'Exhibit No. SLC-5 pg 3'!E67</f>
        <v>-9373113.8451537192</v>
      </c>
      <c r="G72" s="97">
        <f>'Exhibit No. SLC-5 pg 3'!F67</f>
        <v>-1882727</v>
      </c>
      <c r="H72" s="97">
        <f>'Exhibit No. SLC-5 pg 3'!G67</f>
        <v>7011257.8506784029</v>
      </c>
      <c r="J72" s="86">
        <f>SUM(E72:H72)</f>
        <v>-2853123.1101710014</v>
      </c>
      <c r="L72" s="86">
        <f>+L15-L28-L29-L30-L31-L36</f>
        <v>61401938.9216346</v>
      </c>
      <c r="M72" s="172"/>
    </row>
    <row r="73" spans="1:13" x14ac:dyDescent="0.25">
      <c r="A73" s="84">
        <v>64</v>
      </c>
      <c r="B73" s="84" t="s">
        <v>62</v>
      </c>
      <c r="C73" s="86">
        <f>Summary!F72</f>
        <v>0</v>
      </c>
      <c r="D73" s="85"/>
      <c r="E73" s="97">
        <f>'Exhibit No. SLC-5 pg 3'!D68</f>
        <v>0</v>
      </c>
      <c r="F73" s="97">
        <f>'Exhibit No. SLC-5 pg 3'!E68</f>
        <v>0</v>
      </c>
      <c r="G73" s="97">
        <f>'Exhibit No. SLC-5 pg 3'!F68</f>
        <v>0</v>
      </c>
      <c r="H73" s="97">
        <f>'Exhibit No. SLC-5 pg 3'!G68</f>
        <v>0</v>
      </c>
    </row>
    <row r="74" spans="1:13" x14ac:dyDescent="0.25">
      <c r="A74" s="84">
        <v>65</v>
      </c>
      <c r="B74" s="84" t="s">
        <v>63</v>
      </c>
      <c r="C74" s="86">
        <f>Summary!F73</f>
        <v>-3636274.7351071914</v>
      </c>
      <c r="D74" s="85"/>
      <c r="E74" s="97">
        <f>'Exhibit No. SLC-5 pg 3'!D69</f>
        <v>0</v>
      </c>
      <c r="F74" s="97">
        <f>'Exhibit No. SLC-5 pg 3'!E69</f>
        <v>0</v>
      </c>
      <c r="G74" s="97">
        <f>'Exhibit No. SLC-5 pg 3'!F69</f>
        <v>0</v>
      </c>
      <c r="H74" s="97">
        <f>'Exhibit No. SLC-5 pg 3'!G69</f>
        <v>0</v>
      </c>
      <c r="J74" s="86">
        <f>SUM(E74:H74)</f>
        <v>0</v>
      </c>
      <c r="L74" s="86">
        <f>+C74+J74</f>
        <v>-3636274.7351071914</v>
      </c>
      <c r="M74" s="172"/>
    </row>
    <row r="75" spans="1:13" x14ac:dyDescent="0.25">
      <c r="A75" s="84">
        <v>66</v>
      </c>
      <c r="B75" s="84" t="s">
        <v>64</v>
      </c>
      <c r="C75" s="86">
        <f>Summary!F74</f>
        <v>26522750.959160943</v>
      </c>
      <c r="D75" s="85"/>
      <c r="E75" s="97">
        <f>'Exhibit No. SLC-5 pg 3'!D70</f>
        <v>0</v>
      </c>
      <c r="F75" s="97">
        <f>'Exhibit No. SLC-5 pg 3'!E70</f>
        <v>0</v>
      </c>
      <c r="G75" s="97">
        <f>'Exhibit No. SLC-5 pg 3'!F70</f>
        <v>6194982.885017924</v>
      </c>
      <c r="H75" s="97">
        <f>'Exhibit No. SLC-5 pg 3'!G70</f>
        <v>0</v>
      </c>
      <c r="J75" s="86">
        <f>SUM(E75:H75)</f>
        <v>6194982.885017924</v>
      </c>
      <c r="L75" s="86">
        <f>+C75+J75</f>
        <v>32717733.844178867</v>
      </c>
      <c r="M75" s="172"/>
    </row>
    <row r="76" spans="1:13" x14ac:dyDescent="0.25">
      <c r="A76" s="84">
        <v>67</v>
      </c>
      <c r="B76" s="98" t="s">
        <v>65</v>
      </c>
      <c r="C76" s="86">
        <f>Summary!F75</f>
        <v>102379039.64612165</v>
      </c>
      <c r="D76" s="88"/>
      <c r="E76" s="97">
        <f>'Exhibit No. SLC-5 pg 3'!D71</f>
        <v>0</v>
      </c>
      <c r="F76" s="97">
        <f>'Exhibit No. SLC-5 pg 3'!E71</f>
        <v>264567.59324455645</v>
      </c>
      <c r="G76" s="97">
        <f>'Exhibit No. SLC-5 pg 3'!F71</f>
        <v>10157136.349259827</v>
      </c>
      <c r="H76" s="97">
        <f>'Exhibit No. SLC-5 pg 3'!G71</f>
        <v>0</v>
      </c>
      <c r="J76" s="86">
        <f>SUM(E76:H76)</f>
        <v>10421703.942504384</v>
      </c>
      <c r="L76" s="86">
        <f>+C76+J76</f>
        <v>112800743.58862603</v>
      </c>
      <c r="M76" s="172"/>
    </row>
    <row r="77" spans="1:13" x14ac:dyDescent="0.25">
      <c r="A77" s="84">
        <v>68</v>
      </c>
      <c r="B77" s="98" t="s">
        <v>66</v>
      </c>
      <c r="C77" s="86">
        <f>Summary!F76</f>
        <v>113344066.91718929</v>
      </c>
      <c r="D77" s="88"/>
      <c r="E77" s="97">
        <f>'Exhibit No. SLC-5 pg 3'!D72</f>
        <v>0</v>
      </c>
      <c r="F77" s="97">
        <f>'Exhibit No. SLC-5 pg 3'!E72</f>
        <v>3786204.9762987876</v>
      </c>
      <c r="G77" s="97">
        <f>'Exhibit No. SLC-5 pg 3'!F72</f>
        <v>16975738.796758544</v>
      </c>
      <c r="H77" s="97">
        <f>'Exhibit No. SLC-5 pg 3'!G72</f>
        <v>826092.83000000054</v>
      </c>
      <c r="J77" s="99">
        <f>SUM(E77:H77)</f>
        <v>21588036.603057332</v>
      </c>
      <c r="L77" s="86">
        <f>+C77+J77</f>
        <v>134932103.52024662</v>
      </c>
      <c r="M77" s="172"/>
    </row>
    <row r="78" spans="1:13" x14ac:dyDescent="0.25">
      <c r="A78" s="84">
        <v>69</v>
      </c>
      <c r="B78" s="84" t="s">
        <v>67</v>
      </c>
      <c r="C78" s="108">
        <f>Summary!F77</f>
        <v>30403559.106446549</v>
      </c>
      <c r="D78" s="85"/>
      <c r="E78" s="108">
        <f>'Exhibit No. SLC-5 pg 3'!D73</f>
        <v>1391459.8843043151</v>
      </c>
      <c r="F78" s="108">
        <f>'Exhibit No. SLC-5 pg 3'!E73</f>
        <v>-12894751.22820795</v>
      </c>
      <c r="G78" s="108">
        <f>'Exhibit No. SLC-5 pg 3'!F73</f>
        <v>-14896312.33251664</v>
      </c>
      <c r="H78" s="108">
        <f>'Exhibit No. SLC-5 pg 3'!G73</f>
        <v>6185165.0206784029</v>
      </c>
      <c r="J78" s="100">
        <f>SUM(E78:H78)</f>
        <v>-20214438.65574187</v>
      </c>
      <c r="L78" s="92">
        <f>+C78+J78</f>
        <v>10189120.450704679</v>
      </c>
      <c r="M78" s="174"/>
    </row>
    <row r="79" spans="1:13" x14ac:dyDescent="0.25">
      <c r="A79" s="84">
        <v>70</v>
      </c>
      <c r="B79" s="84"/>
      <c r="C79" s="86"/>
      <c r="D79" s="85"/>
      <c r="E79" s="86"/>
      <c r="F79" s="86"/>
      <c r="G79" s="86"/>
      <c r="H79" s="86"/>
      <c r="J79" s="86"/>
    </row>
    <row r="80" spans="1:13" x14ac:dyDescent="0.25">
      <c r="A80" s="84">
        <v>71</v>
      </c>
      <c r="B80" s="84" t="s">
        <v>68</v>
      </c>
      <c r="C80" s="86">
        <v>0</v>
      </c>
      <c r="D80" s="88"/>
      <c r="E80" s="86">
        <f>'Exhibit No. SLC-5 pg 3'!D75</f>
        <v>0</v>
      </c>
      <c r="F80" s="86">
        <f>'Exhibit No. SLC-5 pg 3'!E75</f>
        <v>0</v>
      </c>
      <c r="G80" s="86">
        <f>'Exhibit No. SLC-5 pg 3'!F75</f>
        <v>0</v>
      </c>
      <c r="H80" s="86">
        <f>'Exhibit No. SLC-5 pg 3'!G75</f>
        <v>0</v>
      </c>
      <c r="J80" s="86">
        <f>SUM(E80:H80)</f>
        <v>0</v>
      </c>
      <c r="L80" s="101">
        <f>+C80+J80</f>
        <v>0</v>
      </c>
      <c r="M80" s="174"/>
    </row>
    <row r="81" spans="1:13" ht="10.75" thickBot="1" x14ac:dyDescent="0.3">
      <c r="A81" s="84">
        <v>72</v>
      </c>
      <c r="B81" s="84" t="s">
        <v>69</v>
      </c>
      <c r="C81" s="102">
        <f>Summary!F80</f>
        <v>30403559.106446538</v>
      </c>
      <c r="D81" s="88"/>
      <c r="E81" s="102">
        <f>'Exhibit No. SLC-5 pg 3'!D76</f>
        <v>1391459.8843043151</v>
      </c>
      <c r="F81" s="102">
        <f>'Exhibit No. SLC-5 pg 3'!E76</f>
        <v>-12894751.22820795</v>
      </c>
      <c r="G81" s="102">
        <f>'Exhibit No. SLC-5 pg 3'!F76</f>
        <v>-14896312.33251664</v>
      </c>
      <c r="H81" s="102">
        <f>'Exhibit No. SLC-5 pg 3'!G76</f>
        <v>6185165.0206784029</v>
      </c>
      <c r="J81" s="102">
        <f>SUM(E81:H81)</f>
        <v>-20214438.65574187</v>
      </c>
      <c r="L81" s="103">
        <f>+C81+J81</f>
        <v>10189120.450704668</v>
      </c>
      <c r="M81" s="174"/>
    </row>
    <row r="82" spans="1:13" ht="12.9" thickTop="1" x14ac:dyDescent="0.3">
      <c r="A82" s="84">
        <v>73</v>
      </c>
      <c r="B82" s="84"/>
      <c r="C82" s="89"/>
      <c r="D82" s="85"/>
      <c r="E82" s="89"/>
      <c r="F82" s="89"/>
      <c r="G82" s="89"/>
      <c r="H82" s="89"/>
      <c r="J82" s="89"/>
    </row>
    <row r="83" spans="1:13" ht="10.75" thickBot="1" x14ac:dyDescent="0.3">
      <c r="A83" s="84">
        <v>74</v>
      </c>
      <c r="B83" s="98" t="s">
        <v>111</v>
      </c>
      <c r="C83" s="102">
        <f>Summary!F84</f>
        <v>-10633825.761619281</v>
      </c>
      <c r="D83" s="88"/>
      <c r="E83" s="102">
        <f>'Exhibit No. SLC-5 pg 3'!D78</f>
        <v>292206.57570390613</v>
      </c>
      <c r="F83" s="102">
        <f>'Exhibit No. SLC-5 pg 3'!E78</f>
        <v>-2707897.7579236692</v>
      </c>
      <c r="G83" s="102">
        <f>'Exhibit No. SLC-5 pg 3'!F78</f>
        <v>-3128225.5898284945</v>
      </c>
      <c r="H83" s="102">
        <f>'Exhibit No. SLC-5 pg 3'!G78</f>
        <v>1298884.6543424646</v>
      </c>
      <c r="J83" s="102">
        <f>SUM(E83:H83)</f>
        <v>-4245032.1177057922</v>
      </c>
      <c r="L83" s="102">
        <f>+C83+J83</f>
        <v>-14878857.879325073</v>
      </c>
      <c r="M83" s="172"/>
    </row>
    <row r="84" spans="1:13" ht="10.75" thickTop="1" x14ac:dyDescent="0.25"/>
    <row r="85" spans="1:13" x14ac:dyDescent="0.25">
      <c r="L85" s="86"/>
    </row>
  </sheetData>
  <mergeCells count="3">
    <mergeCell ref="A2:B2"/>
    <mergeCell ref="A3:C3"/>
    <mergeCell ref="E6:H6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SLC-3
Page &amp;P</oddHeader>
  </headerFooter>
  <customProperties>
    <customPr name="_pios_id" r:id="rId2"/>
  </customProperties>
  <ignoredErrors>
    <ignoredError sqref="J28 L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topLeftCell="A46" workbookViewId="0">
      <selection activeCell="J26" sqref="J26"/>
    </sheetView>
  </sheetViews>
  <sheetFormatPr defaultColWidth="9.15234375" defaultRowHeight="12.45" x14ac:dyDescent="0.3"/>
  <cols>
    <col min="1" max="1" width="5.15234375" style="143" customWidth="1"/>
    <col min="2" max="2" width="25.15234375" style="143" bestFit="1" customWidth="1"/>
    <col min="3" max="3" width="19.23046875" style="143" customWidth="1"/>
    <col min="4" max="4" width="19.15234375" style="143" customWidth="1"/>
    <col min="5" max="5" width="19.69140625" style="143" customWidth="1"/>
    <col min="6" max="6" width="16.84375" style="143" customWidth="1"/>
    <col min="7" max="7" width="18.4609375" style="143" customWidth="1"/>
    <col min="8" max="16384" width="9.15234375" style="143"/>
  </cols>
  <sheetData>
    <row r="1" spans="1:9" x14ac:dyDescent="0.3">
      <c r="B1" s="364" t="s">
        <v>121</v>
      </c>
      <c r="C1" s="364"/>
      <c r="D1" s="364"/>
      <c r="E1" s="364"/>
      <c r="F1" s="364"/>
      <c r="G1" s="364"/>
      <c r="I1" s="19"/>
    </row>
    <row r="3" spans="1:9" ht="49.75" x14ac:dyDescent="0.3">
      <c r="C3" s="144" t="s">
        <v>94</v>
      </c>
      <c r="D3" s="144" t="s">
        <v>181</v>
      </c>
      <c r="E3" s="198" t="s">
        <v>182</v>
      </c>
      <c r="F3" s="144" t="s">
        <v>183</v>
      </c>
      <c r="G3" s="144" t="s">
        <v>184</v>
      </c>
    </row>
    <row r="5" spans="1:9" x14ac:dyDescent="0.3">
      <c r="A5" s="151">
        <v>1</v>
      </c>
      <c r="B5" s="151" t="s">
        <v>8</v>
      </c>
    </row>
    <row r="6" spans="1:9" x14ac:dyDescent="0.3">
      <c r="A6" s="151">
        <v>2</v>
      </c>
      <c r="B6" s="151" t="s">
        <v>9</v>
      </c>
      <c r="C6" s="152">
        <f>SUM(D6:G6)</f>
        <v>0</v>
      </c>
      <c r="D6" s="145">
        <f>SUM('Pro Forma Adj'!C12:E12)</f>
        <v>0</v>
      </c>
      <c r="E6" s="145">
        <f>SUM('Pro Forma Adj'!F12:O12)</f>
        <v>0</v>
      </c>
      <c r="F6" s="145">
        <f>SUM('Pro Forma Adj'!P12:U12)</f>
        <v>0</v>
      </c>
      <c r="G6" s="145">
        <f>SUM('Pro Forma Adj'!V12:W12)</f>
        <v>0</v>
      </c>
    </row>
    <row r="7" spans="1:9" x14ac:dyDescent="0.3">
      <c r="A7" s="151">
        <v>3</v>
      </c>
      <c r="B7" s="151" t="s">
        <v>10</v>
      </c>
      <c r="C7" s="152">
        <f>SUM(D7:G7)</f>
        <v>0</v>
      </c>
      <c r="D7" s="152">
        <f>SUM('Pro Forma Adj'!C13:E13)</f>
        <v>0</v>
      </c>
      <c r="E7" s="152">
        <f>SUM('Pro Forma Adj'!F13:O13)</f>
        <v>0</v>
      </c>
      <c r="F7" s="152">
        <f>SUM('Pro Forma Adj'!P13:U13)</f>
        <v>0</v>
      </c>
      <c r="G7" s="152">
        <f>SUM('Pro Forma Adj'!V13:W13)</f>
        <v>0</v>
      </c>
    </row>
    <row r="8" spans="1:9" x14ac:dyDescent="0.3">
      <c r="A8" s="151">
        <v>4</v>
      </c>
      <c r="B8" s="151" t="s">
        <v>11</v>
      </c>
      <c r="C8" s="152">
        <f>SUM(D8:G8)</f>
        <v>0</v>
      </c>
      <c r="D8" s="152">
        <f>SUM('Pro Forma Adj'!C14:E14)</f>
        <v>0</v>
      </c>
      <c r="E8" s="152">
        <f>SUM('Pro Forma Adj'!F14:O14)</f>
        <v>0</v>
      </c>
      <c r="F8" s="152">
        <f>SUM('Pro Forma Adj'!P14:U14)</f>
        <v>0</v>
      </c>
      <c r="G8" s="152">
        <f>SUM('Pro Forma Adj'!V14:W14)</f>
        <v>0</v>
      </c>
    </row>
    <row r="9" spans="1:9" x14ac:dyDescent="0.3">
      <c r="A9" s="151">
        <v>5</v>
      </c>
      <c r="B9" s="151" t="s">
        <v>12</v>
      </c>
      <c r="C9" s="152">
        <f>SUM(D9:G9)</f>
        <v>2100780.9236015039</v>
      </c>
      <c r="D9" s="152">
        <f>SUM('Pro Forma Adj'!C15:E15)</f>
        <v>2100780.9236015039</v>
      </c>
      <c r="E9" s="152">
        <f>SUM('Pro Forma Adj'!F15:O15)</f>
        <v>0</v>
      </c>
      <c r="F9" s="152">
        <f>SUM('Pro Forma Adj'!P15:U15)</f>
        <v>0</v>
      </c>
      <c r="G9" s="152">
        <f>SUM('Pro Forma Adj'!V15:W15)</f>
        <v>0</v>
      </c>
    </row>
    <row r="10" spans="1:9" x14ac:dyDescent="0.3">
      <c r="A10" s="151">
        <v>6</v>
      </c>
      <c r="B10" s="151" t="s">
        <v>13</v>
      </c>
      <c r="C10" s="153">
        <f>SUM(C6:C9)</f>
        <v>2100780.9236015039</v>
      </c>
      <c r="D10" s="153">
        <f t="shared" ref="D10:G10" si="0">SUM(D6:D9)</f>
        <v>2100780.9236015039</v>
      </c>
      <c r="E10" s="153">
        <f t="shared" si="0"/>
        <v>0</v>
      </c>
      <c r="F10" s="153">
        <f t="shared" si="0"/>
        <v>0</v>
      </c>
      <c r="G10" s="153">
        <f t="shared" si="0"/>
        <v>0</v>
      </c>
    </row>
    <row r="11" spans="1:9" x14ac:dyDescent="0.3">
      <c r="A11" s="151">
        <v>7</v>
      </c>
      <c r="B11" s="151"/>
    </row>
    <row r="12" spans="1:9" x14ac:dyDescent="0.3">
      <c r="A12" s="151">
        <v>8</v>
      </c>
      <c r="B12" s="151" t="s">
        <v>14</v>
      </c>
    </row>
    <row r="13" spans="1:9" x14ac:dyDescent="0.3">
      <c r="A13" s="151">
        <v>9</v>
      </c>
      <c r="B13" s="151" t="s">
        <v>15</v>
      </c>
      <c r="C13" s="152">
        <f t="shared" ref="C13:C22" si="1">SUM(D13:G13)</f>
        <v>120646.8440166338</v>
      </c>
      <c r="D13" s="152">
        <f>SUM('Pro Forma Adj'!C19:E19)</f>
        <v>120646.8440166338</v>
      </c>
      <c r="E13" s="152">
        <f>SUM('Pro Forma Adj'!F19:O19)</f>
        <v>0</v>
      </c>
      <c r="F13" s="152">
        <f>SUM('Pro Forma Adj'!P19:U19)</f>
        <v>0</v>
      </c>
      <c r="G13" s="152">
        <f>SUM('Pro Forma Adj'!V19:W19)</f>
        <v>0</v>
      </c>
    </row>
    <row r="14" spans="1:9" x14ac:dyDescent="0.3">
      <c r="A14" s="151">
        <v>10</v>
      </c>
      <c r="B14" s="151" t="s">
        <v>16</v>
      </c>
      <c r="C14" s="152">
        <f t="shared" si="1"/>
        <v>0</v>
      </c>
      <c r="D14" s="152">
        <f>SUM('Pro Forma Adj'!C20:E20)</f>
        <v>0</v>
      </c>
      <c r="E14" s="152">
        <f>SUM('Pro Forma Adj'!F20:O20)</f>
        <v>0</v>
      </c>
      <c r="F14" s="152">
        <f>SUM('Pro Forma Adj'!P20:U20)</f>
        <v>0</v>
      </c>
      <c r="G14" s="152">
        <f>SUM('Pro Forma Adj'!V20:W20)</f>
        <v>0</v>
      </c>
    </row>
    <row r="15" spans="1:9" x14ac:dyDescent="0.3">
      <c r="A15" s="151">
        <v>11</v>
      </c>
      <c r="B15" s="151" t="s">
        <v>17</v>
      </c>
      <c r="C15" s="152">
        <f t="shared" si="1"/>
        <v>42898.766456511425</v>
      </c>
      <c r="D15" s="152">
        <f>SUM('Pro Forma Adj'!C21:E21)</f>
        <v>42898.766456511425</v>
      </c>
      <c r="E15" s="152">
        <f>SUM('Pro Forma Adj'!F21:O21)</f>
        <v>0</v>
      </c>
      <c r="F15" s="152">
        <f>SUM('Pro Forma Adj'!P21:U21)</f>
        <v>0</v>
      </c>
      <c r="G15" s="152">
        <f>SUM('Pro Forma Adj'!V21:W21)</f>
        <v>0</v>
      </c>
    </row>
    <row r="16" spans="1:9" x14ac:dyDescent="0.3">
      <c r="A16" s="151">
        <v>12</v>
      </c>
      <c r="B16" s="151" t="s">
        <v>18</v>
      </c>
      <c r="C16" s="152">
        <f t="shared" si="1"/>
        <v>468523.5706248373</v>
      </c>
      <c r="D16" s="152">
        <f>SUM('Pro Forma Adj'!C22:E22)</f>
        <v>72943.843227417281</v>
      </c>
      <c r="E16" s="152">
        <f>SUM('Pro Forma Adj'!F22:O22)</f>
        <v>395579.72739742004</v>
      </c>
      <c r="F16" s="152">
        <f>SUM('Pro Forma Adj'!P22:U22)</f>
        <v>0</v>
      </c>
      <c r="G16" s="152">
        <f>SUM('Pro Forma Adj'!V22:W22)</f>
        <v>0</v>
      </c>
    </row>
    <row r="17" spans="1:9" x14ac:dyDescent="0.3">
      <c r="A17" s="151">
        <v>13</v>
      </c>
      <c r="B17" s="151" t="s">
        <v>19</v>
      </c>
      <c r="C17" s="152">
        <f t="shared" si="1"/>
        <v>41939.221287158143</v>
      </c>
      <c r="D17" s="152">
        <f>SUM('Pro Forma Adj'!C23:E23)</f>
        <v>41939.221287158143</v>
      </c>
      <c r="E17" s="152">
        <f>SUM('Pro Forma Adj'!F23:O23)</f>
        <v>0</v>
      </c>
      <c r="F17" s="152">
        <f>SUM('Pro Forma Adj'!P23:U23)</f>
        <v>0</v>
      </c>
      <c r="G17" s="152">
        <f>SUM('Pro Forma Adj'!V23:W23)</f>
        <v>0</v>
      </c>
    </row>
    <row r="18" spans="1:9" x14ac:dyDescent="0.3">
      <c r="A18" s="151">
        <v>14</v>
      </c>
      <c r="B18" s="151" t="s">
        <v>20</v>
      </c>
      <c r="C18" s="152">
        <f t="shared" si="1"/>
        <v>283467.2928264293</v>
      </c>
      <c r="D18" s="152">
        <f>SUM('Pro Forma Adj'!C24:E24)</f>
        <v>283467.2928264293</v>
      </c>
      <c r="E18" s="152">
        <f>SUM('Pro Forma Adj'!F24:O24)</f>
        <v>0</v>
      </c>
      <c r="F18" s="152">
        <f>SUM('Pro Forma Adj'!P24:U24)</f>
        <v>0</v>
      </c>
      <c r="G18" s="152">
        <f>SUM('Pro Forma Adj'!V24:W24)</f>
        <v>0</v>
      </c>
    </row>
    <row r="19" spans="1:9" x14ac:dyDescent="0.3">
      <c r="A19" s="151">
        <v>15</v>
      </c>
      <c r="B19" s="151" t="s">
        <v>21</v>
      </c>
      <c r="C19" s="152">
        <f t="shared" si="1"/>
        <v>64890.714644478132</v>
      </c>
      <c r="D19" s="152">
        <f>SUM('Pro Forma Adj'!C25:E25)</f>
        <v>64890.714644478132</v>
      </c>
      <c r="E19" s="152">
        <f>SUM('Pro Forma Adj'!F25:O25)</f>
        <v>0</v>
      </c>
      <c r="F19" s="152">
        <f>SUM('Pro Forma Adj'!P25:U25)</f>
        <v>0</v>
      </c>
      <c r="G19" s="152">
        <f>SUM('Pro Forma Adj'!V25:W25)</f>
        <v>0</v>
      </c>
    </row>
    <row r="20" spans="1:9" x14ac:dyDescent="0.3">
      <c r="A20" s="151">
        <v>16</v>
      </c>
      <c r="B20" s="151" t="s">
        <v>22</v>
      </c>
      <c r="C20" s="152">
        <f t="shared" si="1"/>
        <v>26362.070195963275</v>
      </c>
      <c r="D20" s="152">
        <f>SUM('Pro Forma Adj'!C26:E26)</f>
        <v>26362.070195963275</v>
      </c>
      <c r="E20" s="152">
        <f>SUM('Pro Forma Adj'!F26:O26)</f>
        <v>0</v>
      </c>
      <c r="F20" s="152">
        <f>SUM('Pro Forma Adj'!P26:U26)</f>
        <v>0</v>
      </c>
      <c r="G20" s="152">
        <f>SUM('Pro Forma Adj'!V26:W26)</f>
        <v>0</v>
      </c>
    </row>
    <row r="21" spans="1:9" x14ac:dyDescent="0.3">
      <c r="A21" s="151">
        <v>17</v>
      </c>
      <c r="B21" s="151" t="s">
        <v>23</v>
      </c>
      <c r="C21" s="152">
        <f t="shared" si="1"/>
        <v>0</v>
      </c>
      <c r="D21" s="152">
        <f>SUM('Pro Forma Adj'!C27:E27)</f>
        <v>0</v>
      </c>
      <c r="E21" s="152">
        <f>SUM('Pro Forma Adj'!F27:O27)</f>
        <v>0</v>
      </c>
      <c r="F21" s="152">
        <f>SUM('Pro Forma Adj'!P27:U27)</f>
        <v>0</v>
      </c>
      <c r="G21" s="152">
        <f>SUM('Pro Forma Adj'!V27:W27)</f>
        <v>0</v>
      </c>
    </row>
    <row r="22" spans="1:9" x14ac:dyDescent="0.3">
      <c r="A22" s="151">
        <v>18</v>
      </c>
      <c r="B22" s="151" t="s">
        <v>24</v>
      </c>
      <c r="C22" s="156">
        <f t="shared" si="1"/>
        <v>56172.286642597501</v>
      </c>
      <c r="D22" s="154">
        <f>SUM('Pro Forma Adj'!C28:E28)</f>
        <v>56172.286642597501</v>
      </c>
      <c r="E22" s="154">
        <f>SUM('Pro Forma Adj'!F28:O28)</f>
        <v>0</v>
      </c>
      <c r="F22" s="154">
        <f>SUM('Pro Forma Adj'!P28:U28)</f>
        <v>0</v>
      </c>
      <c r="G22" s="154">
        <f>SUM('Pro Forma Adj'!V28:W28)</f>
        <v>0</v>
      </c>
    </row>
    <row r="23" spans="1:9" x14ac:dyDescent="0.3">
      <c r="A23" s="151">
        <v>19</v>
      </c>
      <c r="B23" s="151" t="s">
        <v>25</v>
      </c>
      <c r="C23" s="146">
        <f>SUM(C13:C22)</f>
        <v>1104900.7666946088</v>
      </c>
      <c r="D23" s="199">
        <f t="shared" ref="D23:E23" si="2">SUM(D13:D22)</f>
        <v>709321.03929718887</v>
      </c>
      <c r="E23" s="199">
        <f t="shared" si="2"/>
        <v>395579.72739742004</v>
      </c>
      <c r="F23" s="199">
        <f t="shared" ref="F23:G23" si="3">SUM(F13:F22)</f>
        <v>0</v>
      </c>
      <c r="G23" s="199">
        <f t="shared" si="3"/>
        <v>0</v>
      </c>
    </row>
    <row r="24" spans="1:9" x14ac:dyDescent="0.3">
      <c r="A24" s="151">
        <v>20</v>
      </c>
      <c r="B24" s="151" t="s">
        <v>26</v>
      </c>
      <c r="C24" s="152">
        <f>SUM(D24:G24)</f>
        <v>7746703.228831457</v>
      </c>
      <c r="D24" s="152">
        <f>SUM('Pro Forma Adj'!C30:E30)</f>
        <v>0</v>
      </c>
      <c r="E24" s="152">
        <f>SUM('Pro Forma Adj'!F30:O30)</f>
        <v>7746703.228831457</v>
      </c>
      <c r="F24" s="152">
        <f>SUM('Pro Forma Adj'!P30:U30)</f>
        <v>0</v>
      </c>
      <c r="G24" s="152">
        <f>SUM('Pro Forma Adj'!V30:W30)</f>
        <v>0</v>
      </c>
    </row>
    <row r="25" spans="1:9" x14ac:dyDescent="0.3">
      <c r="A25" s="151">
        <v>21</v>
      </c>
      <c r="B25" s="151" t="s">
        <v>27</v>
      </c>
      <c r="C25" s="152">
        <f>SUM(D25:G25)</f>
        <v>-5780426.9617535602</v>
      </c>
      <c r="D25" s="152">
        <f>SUM('Pro Forma Adj'!C31:E31)</f>
        <v>0</v>
      </c>
      <c r="E25" s="152">
        <f>SUM('Pro Forma Adj'!F31:O31)</f>
        <v>1230830.8889248422</v>
      </c>
      <c r="F25" s="152">
        <f>SUM('Pro Forma Adj'!P31:U31)</f>
        <v>0</v>
      </c>
      <c r="G25" s="152">
        <f>SUM('Pro Forma Adj'!V31:W31)</f>
        <v>-7011257.8506784029</v>
      </c>
    </row>
    <row r="26" spans="1:9" x14ac:dyDescent="0.3">
      <c r="A26" s="151">
        <v>22</v>
      </c>
      <c r="B26" s="151" t="s">
        <v>28</v>
      </c>
      <c r="C26" s="152">
        <f>SUM(D26:G26)</f>
        <v>1882727</v>
      </c>
      <c r="D26" s="152">
        <f>SUM('Pro Forma Adj'!C32:E32)</f>
        <v>0</v>
      </c>
      <c r="E26" s="152">
        <f>SUM('Pro Forma Adj'!F32:O32)</f>
        <v>0</v>
      </c>
      <c r="F26" s="152">
        <f>SUM('Pro Forma Adj'!P32:U32)</f>
        <v>1882727</v>
      </c>
      <c r="G26" s="152">
        <f>SUM('Pro Forma Adj'!V32:W32)</f>
        <v>0</v>
      </c>
    </row>
    <row r="27" spans="1:9" x14ac:dyDescent="0.3">
      <c r="A27" s="151">
        <v>23</v>
      </c>
      <c r="B27" s="151" t="s">
        <v>95</v>
      </c>
      <c r="C27" s="152">
        <f>C80</f>
        <v>-4245032.1177057922</v>
      </c>
      <c r="D27" s="152">
        <f>SUM('Pro Forma Adj'!C33:E33)</f>
        <v>292206.57570390613</v>
      </c>
      <c r="E27" s="152">
        <f>SUM('Pro Forma Adj'!F33:O33)</f>
        <v>-2707897.7579236692</v>
      </c>
      <c r="F27" s="152">
        <f>SUM('Pro Forma Adj'!P33:U33)</f>
        <v>-3128225.589828494</v>
      </c>
      <c r="G27" s="152">
        <f>SUM('Pro Forma Adj'!V33:W33)</f>
        <v>1298884.6543424646</v>
      </c>
    </row>
    <row r="28" spans="1:9" x14ac:dyDescent="0.3">
      <c r="A28" s="151">
        <v>24</v>
      </c>
      <c r="B28" s="151" t="s">
        <v>96</v>
      </c>
      <c r="C28" s="152">
        <f>SUM(D28:G28)</f>
        <v>0</v>
      </c>
      <c r="D28" s="152">
        <f>SUM('Pro Forma Adj'!C34:E34)</f>
        <v>0</v>
      </c>
      <c r="E28" s="152">
        <f>SUM('Pro Forma Adj'!F34:O34)</f>
        <v>0</v>
      </c>
      <c r="F28" s="152">
        <f>SUM('Pro Forma Adj'!P34:U34)</f>
        <v>0</v>
      </c>
      <c r="G28" s="152">
        <f>SUM('Pro Forma Adj'!V34:W34)</f>
        <v>0</v>
      </c>
    </row>
    <row r="29" spans="1:9" x14ac:dyDescent="0.3">
      <c r="A29" s="151">
        <v>25</v>
      </c>
      <c r="B29" s="151" t="s">
        <v>97</v>
      </c>
      <c r="C29" s="152">
        <f>SUM(D29:G29)</f>
        <v>2880541.9187977174</v>
      </c>
      <c r="D29" s="152">
        <f>SUM('Pro Forma Adj'!C35:E35)</f>
        <v>0</v>
      </c>
      <c r="E29" s="152">
        <f>SUM('Pro Forma Adj'!F35:O35)</f>
        <v>865851.51731343858</v>
      </c>
      <c r="F29" s="152">
        <f>SUM('Pro Forma Adj'!P35:U35)</f>
        <v>1811582.261743499</v>
      </c>
      <c r="G29" s="152">
        <f>SUM('Pro Forma Adj'!V35:W35)</f>
        <v>203108.13974078008</v>
      </c>
      <c r="I29" s="225"/>
    </row>
    <row r="30" spans="1:9" x14ac:dyDescent="0.3">
      <c r="A30" s="151">
        <v>26</v>
      </c>
      <c r="B30" s="151" t="s">
        <v>32</v>
      </c>
      <c r="C30" s="152">
        <f>SUM(D30:G30)</f>
        <v>0</v>
      </c>
      <c r="D30" s="152">
        <f>SUM('Pro Forma Adj'!C36:E36)</f>
        <v>0</v>
      </c>
      <c r="E30" s="152">
        <f>SUM('Pro Forma Adj'!F36:O36)</f>
        <v>0</v>
      </c>
      <c r="F30" s="152">
        <f>SUM('Pro Forma Adj'!P36:U36)</f>
        <v>0</v>
      </c>
      <c r="G30" s="152">
        <f>SUM('Pro Forma Adj'!V36:W36)</f>
        <v>0</v>
      </c>
    </row>
    <row r="31" spans="1:9" x14ac:dyDescent="0.3">
      <c r="A31" s="151">
        <v>27</v>
      </c>
      <c r="B31" s="151" t="s">
        <v>33</v>
      </c>
      <c r="C31" s="152">
        <f>SUM(D31:G31)</f>
        <v>0</v>
      </c>
      <c r="D31" s="152">
        <f>SUM('Pro Forma Adj'!C37:E37)</f>
        <v>0</v>
      </c>
      <c r="E31" s="152">
        <f>SUM('Pro Forma Adj'!F37:O37)</f>
        <v>0</v>
      </c>
      <c r="F31" s="152">
        <f>SUM('Pro Forma Adj'!P37:U37)</f>
        <v>0</v>
      </c>
      <c r="G31" s="152">
        <f>SUM('Pro Forma Adj'!V37:W37)</f>
        <v>0</v>
      </c>
    </row>
    <row r="32" spans="1:9" x14ac:dyDescent="0.3">
      <c r="A32" s="151">
        <v>28</v>
      </c>
      <c r="B32" s="155" t="s">
        <v>34</v>
      </c>
      <c r="C32" s="147">
        <f>SUM(C23:C31)</f>
        <v>3589413.8348644311</v>
      </c>
      <c r="D32" s="147">
        <f t="shared" ref="D32:G32" si="4">SUM(D23:D31)</f>
        <v>1001527.615001095</v>
      </c>
      <c r="E32" s="147">
        <f t="shared" si="4"/>
        <v>7531067.6045434885</v>
      </c>
      <c r="F32" s="147">
        <f t="shared" si="4"/>
        <v>566083.67191500496</v>
      </c>
      <c r="G32" s="147">
        <f t="shared" si="4"/>
        <v>-5509265.0565951578</v>
      </c>
    </row>
    <row r="33" spans="1:7" x14ac:dyDescent="0.3">
      <c r="A33" s="151">
        <v>29</v>
      </c>
      <c r="B33" s="151"/>
    </row>
    <row r="34" spans="1:7" ht="12.9" thickBot="1" x14ac:dyDescent="0.35">
      <c r="A34" s="151">
        <v>30</v>
      </c>
      <c r="B34" s="151" t="s">
        <v>35</v>
      </c>
      <c r="C34" s="148">
        <f>C10-C32</f>
        <v>-1488632.9112629271</v>
      </c>
      <c r="D34" s="148">
        <f t="shared" ref="D34:G34" si="5">D10-D32</f>
        <v>1099253.308600409</v>
      </c>
      <c r="E34" s="148">
        <f t="shared" si="5"/>
        <v>-7531067.6045434885</v>
      </c>
      <c r="F34" s="148">
        <f t="shared" si="5"/>
        <v>-566083.67191500496</v>
      </c>
      <c r="G34" s="148">
        <f t="shared" si="5"/>
        <v>5509265.0565951578</v>
      </c>
    </row>
    <row r="35" spans="1:7" ht="12.9" thickTop="1" x14ac:dyDescent="0.3">
      <c r="A35" s="151">
        <v>31</v>
      </c>
      <c r="B35" s="151"/>
    </row>
    <row r="36" spans="1:7" x14ac:dyDescent="0.3">
      <c r="A36" s="151">
        <v>32</v>
      </c>
      <c r="B36" s="151" t="s">
        <v>36</v>
      </c>
    </row>
    <row r="37" spans="1:7" x14ac:dyDescent="0.3">
      <c r="A37" s="151">
        <v>33</v>
      </c>
      <c r="B37" s="151" t="s">
        <v>37</v>
      </c>
      <c r="C37" s="152">
        <f t="shared" ref="C37:C47" si="6">SUM(D37:G37)</f>
        <v>334148578.84063983</v>
      </c>
      <c r="D37" s="152">
        <f>SUM('Pro Forma Adj'!C43:E43)</f>
        <v>0</v>
      </c>
      <c r="E37" s="152">
        <f>SUM('Pro Forma Adj'!F43:O43)</f>
        <v>334148578.84063983</v>
      </c>
      <c r="F37" s="152">
        <f>SUM('Pro Forma Adj'!P43:U43)</f>
        <v>0</v>
      </c>
      <c r="G37" s="152">
        <f>SUM('Pro Forma Adj'!V43:W43)</f>
        <v>0</v>
      </c>
    </row>
    <row r="38" spans="1:7" x14ac:dyDescent="0.3">
      <c r="A38" s="151">
        <v>34</v>
      </c>
      <c r="B38" s="151" t="s">
        <v>38</v>
      </c>
      <c r="C38" s="152">
        <f t="shared" si="6"/>
        <v>0</v>
      </c>
      <c r="D38" s="152">
        <f>SUM('Pro Forma Adj'!C44:E44)</f>
        <v>0</v>
      </c>
      <c r="E38" s="152">
        <f>SUM('Pro Forma Adj'!F44:O44)</f>
        <v>0</v>
      </c>
      <c r="F38" s="152">
        <f>SUM('Pro Forma Adj'!P44:U44)</f>
        <v>0</v>
      </c>
      <c r="G38" s="152">
        <f>SUM('Pro Forma Adj'!V44:W44)</f>
        <v>0</v>
      </c>
    </row>
    <row r="39" spans="1:7" x14ac:dyDescent="0.3">
      <c r="A39" s="151">
        <v>35</v>
      </c>
      <c r="B39" s="151" t="s">
        <v>39</v>
      </c>
      <c r="C39" s="152">
        <f t="shared" si="6"/>
        <v>-489243.1450514372</v>
      </c>
      <c r="D39" s="152">
        <f>SUM('Pro Forma Adj'!C45:E45)</f>
        <v>0</v>
      </c>
      <c r="E39" s="152">
        <f>SUM('Pro Forma Adj'!F45:O45)</f>
        <v>0</v>
      </c>
      <c r="F39" s="152">
        <f>SUM('Pro Forma Adj'!P45:U45)</f>
        <v>0</v>
      </c>
      <c r="G39" s="152">
        <f>SUM('Pro Forma Adj'!V45:W45)</f>
        <v>-489243.1450514372</v>
      </c>
    </row>
    <row r="40" spans="1:7" x14ac:dyDescent="0.3">
      <c r="A40" s="151">
        <v>36</v>
      </c>
      <c r="B40" s="151" t="s">
        <v>40</v>
      </c>
      <c r="C40" s="152">
        <f t="shared" si="6"/>
        <v>0</v>
      </c>
      <c r="D40" s="152">
        <f>SUM('Pro Forma Adj'!C46:E46)</f>
        <v>0</v>
      </c>
      <c r="E40" s="152">
        <f>SUM('Pro Forma Adj'!F46:O46)</f>
        <v>0</v>
      </c>
      <c r="F40" s="152">
        <f>SUM('Pro Forma Adj'!P46:U46)</f>
        <v>0</v>
      </c>
      <c r="G40" s="152">
        <f>SUM('Pro Forma Adj'!V46:W46)</f>
        <v>0</v>
      </c>
    </row>
    <row r="41" spans="1:7" x14ac:dyDescent="0.3">
      <c r="A41" s="151">
        <v>37</v>
      </c>
      <c r="B41" s="151" t="s">
        <v>41</v>
      </c>
      <c r="C41" s="152">
        <f t="shared" si="6"/>
        <v>0</v>
      </c>
      <c r="D41" s="152">
        <f>SUM('Pro Forma Adj'!C47:E47)</f>
        <v>0</v>
      </c>
      <c r="E41" s="152">
        <f>SUM('Pro Forma Adj'!F47:O47)</f>
        <v>0</v>
      </c>
      <c r="F41" s="152">
        <f>SUM('Pro Forma Adj'!P47:U47)</f>
        <v>0</v>
      </c>
      <c r="G41" s="152">
        <f>SUM('Pro Forma Adj'!V47:W47)</f>
        <v>0</v>
      </c>
    </row>
    <row r="42" spans="1:7" x14ac:dyDescent="0.3">
      <c r="A42" s="151">
        <v>38</v>
      </c>
      <c r="B42" s="151" t="s">
        <v>42</v>
      </c>
      <c r="C42" s="152">
        <f t="shared" si="6"/>
        <v>0</v>
      </c>
      <c r="D42" s="152">
        <f>SUM('Pro Forma Adj'!C48:E48)</f>
        <v>0</v>
      </c>
      <c r="E42" s="152">
        <f>SUM('Pro Forma Adj'!F48:O48)</f>
        <v>0</v>
      </c>
      <c r="F42" s="152">
        <f>SUM('Pro Forma Adj'!P48:U48)</f>
        <v>0</v>
      </c>
      <c r="G42" s="152">
        <f>SUM('Pro Forma Adj'!V48:W48)</f>
        <v>0</v>
      </c>
    </row>
    <row r="43" spans="1:7" x14ac:dyDescent="0.3">
      <c r="A43" s="151">
        <v>39</v>
      </c>
      <c r="B43" s="151" t="s">
        <v>43</v>
      </c>
      <c r="C43" s="152">
        <f t="shared" si="6"/>
        <v>0</v>
      </c>
      <c r="D43" s="152">
        <f>SUM('Pro Forma Adj'!C49:E49)</f>
        <v>0</v>
      </c>
      <c r="E43" s="152">
        <f>SUM('Pro Forma Adj'!F49:O49)</f>
        <v>0</v>
      </c>
      <c r="F43" s="152">
        <f>SUM('Pro Forma Adj'!P49:U49)</f>
        <v>0</v>
      </c>
      <c r="G43" s="152">
        <f>SUM('Pro Forma Adj'!V49:W49)</f>
        <v>0</v>
      </c>
    </row>
    <row r="44" spans="1:7" x14ac:dyDescent="0.3">
      <c r="A44" s="151">
        <v>40</v>
      </c>
      <c r="B44" s="151" t="s">
        <v>44</v>
      </c>
      <c r="C44" s="152">
        <f t="shared" si="6"/>
        <v>0</v>
      </c>
      <c r="D44" s="152">
        <f>SUM('Pro Forma Adj'!C50:E50)</f>
        <v>0</v>
      </c>
      <c r="E44" s="152">
        <f>SUM('Pro Forma Adj'!F50:O50)</f>
        <v>0</v>
      </c>
      <c r="F44" s="152">
        <f>SUM('Pro Forma Adj'!P50:U50)</f>
        <v>0</v>
      </c>
      <c r="G44" s="152">
        <f>SUM('Pro Forma Adj'!V50:W50)</f>
        <v>0</v>
      </c>
    </row>
    <row r="45" spans="1:7" x14ac:dyDescent="0.3">
      <c r="A45" s="151">
        <v>41</v>
      </c>
      <c r="B45" s="151" t="s">
        <v>45</v>
      </c>
      <c r="C45" s="152">
        <f t="shared" si="6"/>
        <v>0</v>
      </c>
      <c r="D45" s="152">
        <f>SUM('Pro Forma Adj'!C51:E51)</f>
        <v>0</v>
      </c>
      <c r="E45" s="152">
        <f>SUM('Pro Forma Adj'!F51:O51)</f>
        <v>0</v>
      </c>
      <c r="F45" s="152">
        <f>SUM('Pro Forma Adj'!P51:U51)</f>
        <v>0</v>
      </c>
      <c r="G45" s="152">
        <f>SUM('Pro Forma Adj'!V51:W51)</f>
        <v>0</v>
      </c>
    </row>
    <row r="46" spans="1:7" x14ac:dyDescent="0.3">
      <c r="A46" s="151">
        <v>42</v>
      </c>
      <c r="B46" s="151" t="s">
        <v>98</v>
      </c>
      <c r="C46" s="152">
        <f t="shared" si="6"/>
        <v>0</v>
      </c>
      <c r="D46" s="152">
        <f>SUM('Pro Forma Adj'!C52:E52)</f>
        <v>0</v>
      </c>
      <c r="E46" s="152">
        <f>SUM('Pro Forma Adj'!F52:O52)</f>
        <v>0</v>
      </c>
      <c r="F46" s="152">
        <f>SUM('Pro Forma Adj'!P52:U52)</f>
        <v>0</v>
      </c>
      <c r="G46" s="152">
        <f>SUM('Pro Forma Adj'!V52:W52)</f>
        <v>0</v>
      </c>
    </row>
    <row r="47" spans="1:7" x14ac:dyDescent="0.3">
      <c r="A47" s="151">
        <v>43</v>
      </c>
      <c r="B47" s="151" t="s">
        <v>47</v>
      </c>
      <c r="C47" s="152">
        <f t="shared" si="6"/>
        <v>0</v>
      </c>
      <c r="D47" s="156">
        <f>SUM('Pro Forma Adj'!C53:E53)</f>
        <v>0</v>
      </c>
      <c r="E47" s="156">
        <f>SUM('Pro Forma Adj'!F53:O53)</f>
        <v>0</v>
      </c>
      <c r="F47" s="156">
        <f>SUM('Pro Forma Adj'!P53:U53)</f>
        <v>0</v>
      </c>
      <c r="G47" s="156">
        <f>SUM('Pro Forma Adj'!V53:W53)</f>
        <v>0</v>
      </c>
    </row>
    <row r="48" spans="1:7" x14ac:dyDescent="0.3">
      <c r="A48" s="151">
        <v>44</v>
      </c>
      <c r="B48" s="151" t="s">
        <v>48</v>
      </c>
      <c r="C48" s="147">
        <f>SUM(C37:C47)</f>
        <v>333659335.69558841</v>
      </c>
      <c r="D48" s="147">
        <f t="shared" ref="D48:G48" si="7">SUM(D37:D47)</f>
        <v>0</v>
      </c>
      <c r="E48" s="147">
        <f t="shared" si="7"/>
        <v>334148578.84063983</v>
      </c>
      <c r="F48" s="147">
        <f t="shared" si="7"/>
        <v>0</v>
      </c>
      <c r="G48" s="147">
        <f t="shared" si="7"/>
        <v>-489243.1450514372</v>
      </c>
    </row>
    <row r="49" spans="1:7" x14ac:dyDescent="0.3">
      <c r="A49" s="151">
        <v>45</v>
      </c>
      <c r="B49" s="151"/>
    </row>
    <row r="50" spans="1:7" x14ac:dyDescent="0.3">
      <c r="A50" s="151">
        <v>46</v>
      </c>
      <c r="B50" s="151" t="s">
        <v>99</v>
      </c>
    </row>
    <row r="51" spans="1:7" x14ac:dyDescent="0.3">
      <c r="A51" s="151">
        <v>47</v>
      </c>
      <c r="B51" s="151" t="s">
        <v>50</v>
      </c>
      <c r="C51" s="152">
        <f t="shared" ref="C51:C57" si="8">SUM(D51:G51)</f>
        <v>-51251438.768470183</v>
      </c>
      <c r="D51" s="152">
        <f>SUM('Pro Forma Adj'!C57:E57)</f>
        <v>0</v>
      </c>
      <c r="E51" s="152">
        <f>SUM('Pro Forma Adj'!F57:O57)</f>
        <v>-51251438.768470183</v>
      </c>
      <c r="F51" s="152">
        <f>SUM('Pro Forma Adj'!P57:U57)</f>
        <v>0</v>
      </c>
      <c r="G51" s="152">
        <f>SUM('Pro Forma Adj'!V57:W57)</f>
        <v>0</v>
      </c>
    </row>
    <row r="52" spans="1:7" x14ac:dyDescent="0.3">
      <c r="A52" s="151">
        <v>48</v>
      </c>
      <c r="B52" s="151" t="s">
        <v>51</v>
      </c>
      <c r="C52" s="152">
        <f t="shared" si="8"/>
        <v>-4541116.6972164949</v>
      </c>
      <c r="D52" s="152">
        <f>SUM('Pro Forma Adj'!C58:E58)</f>
        <v>0</v>
      </c>
      <c r="E52" s="152">
        <f>SUM('Pro Forma Adj'!F58:O58)</f>
        <v>-4541116.6972164949</v>
      </c>
      <c r="F52" s="152">
        <f>SUM('Pro Forma Adj'!P58:U58)</f>
        <v>0</v>
      </c>
      <c r="G52" s="152">
        <f>SUM('Pro Forma Adj'!V58:W58)</f>
        <v>0</v>
      </c>
    </row>
    <row r="53" spans="1:7" x14ac:dyDescent="0.3">
      <c r="A53" s="151">
        <v>49</v>
      </c>
      <c r="B53" s="151" t="s">
        <v>52</v>
      </c>
      <c r="C53" s="152">
        <f t="shared" si="8"/>
        <v>-19010143.2274631</v>
      </c>
      <c r="D53" s="152">
        <f>SUM('Pro Forma Adj'!C59:E59)</f>
        <v>0</v>
      </c>
      <c r="E53" s="152">
        <f>SUM('Pro Forma Adj'!F59:O59)</f>
        <v>2408420.0747139137</v>
      </c>
      <c r="F53" s="152">
        <f>SUM('Pro Forma Adj'!P59:U59)</f>
        <v>-21538851.557278231</v>
      </c>
      <c r="G53" s="152">
        <f>SUM('Pro Forma Adj'!V59:W59)</f>
        <v>120288.25510121686</v>
      </c>
    </row>
    <row r="54" spans="1:7" x14ac:dyDescent="0.3">
      <c r="A54" s="151">
        <v>50</v>
      </c>
      <c r="B54" s="151" t="s">
        <v>53</v>
      </c>
      <c r="C54" s="152">
        <f t="shared" si="8"/>
        <v>0</v>
      </c>
      <c r="D54" s="152">
        <f>SUM('Pro Forma Adj'!C60:E60)</f>
        <v>0</v>
      </c>
      <c r="E54" s="152">
        <f>SUM('Pro Forma Adj'!F60:O60)</f>
        <v>0</v>
      </c>
      <c r="F54" s="152">
        <f>SUM('Pro Forma Adj'!P60:U60)</f>
        <v>0</v>
      </c>
      <c r="G54" s="152">
        <f>SUM('Pro Forma Adj'!V60:W60)</f>
        <v>0</v>
      </c>
    </row>
    <row r="55" spans="1:7" x14ac:dyDescent="0.3">
      <c r="A55" s="151">
        <v>51</v>
      </c>
      <c r="B55" s="151" t="s">
        <v>54</v>
      </c>
      <c r="C55" s="152">
        <f t="shared" si="8"/>
        <v>0</v>
      </c>
      <c r="D55" s="152">
        <f>SUM('Pro Forma Adj'!C61:E61)</f>
        <v>0</v>
      </c>
      <c r="E55" s="152">
        <f>SUM('Pro Forma Adj'!F61:O61)</f>
        <v>0</v>
      </c>
      <c r="F55" s="152">
        <f>SUM('Pro Forma Adj'!P61:U61)</f>
        <v>0</v>
      </c>
      <c r="G55" s="152">
        <f>SUM('Pro Forma Adj'!V61:W61)</f>
        <v>0</v>
      </c>
    </row>
    <row r="56" spans="1:7" x14ac:dyDescent="0.3">
      <c r="A56" s="151">
        <v>52</v>
      </c>
      <c r="B56" s="151" t="s">
        <v>55</v>
      </c>
      <c r="C56" s="152">
        <f t="shared" si="8"/>
        <v>0</v>
      </c>
      <c r="D56" s="152">
        <f>SUM('Pro Forma Adj'!C62:E62)</f>
        <v>0</v>
      </c>
      <c r="E56" s="152">
        <f>SUM('Pro Forma Adj'!F62:O62)</f>
        <v>0</v>
      </c>
      <c r="F56" s="152">
        <f>SUM('Pro Forma Adj'!P62:U62)</f>
        <v>0</v>
      </c>
      <c r="G56" s="152">
        <f>SUM('Pro Forma Adj'!V62:W62)</f>
        <v>0</v>
      </c>
    </row>
    <row r="57" spans="1:7" x14ac:dyDescent="0.3">
      <c r="A57" s="151">
        <v>53</v>
      </c>
      <c r="B57" s="151" t="s">
        <v>100</v>
      </c>
      <c r="C57" s="152">
        <f t="shared" si="8"/>
        <v>-3335283.8417438725</v>
      </c>
      <c r="D57" s="152">
        <f>SUM('Pro Forma Adj'!C63:E63)</f>
        <v>0</v>
      </c>
      <c r="E57" s="152">
        <f>SUM('Pro Forma Adj'!F63:O63)</f>
        <v>-5933674.8417438725</v>
      </c>
      <c r="F57" s="152">
        <f>SUM('Pro Forma Adj'!P63:U63)</f>
        <v>2598391</v>
      </c>
      <c r="G57" s="152">
        <f>SUM('Pro Forma Adj'!V63:W63)</f>
        <v>0</v>
      </c>
    </row>
    <row r="58" spans="1:7" x14ac:dyDescent="0.3">
      <c r="A58" s="151">
        <v>54</v>
      </c>
      <c r="B58" s="151"/>
    </row>
    <row r="59" spans="1:7" x14ac:dyDescent="0.3">
      <c r="A59" s="151">
        <v>55</v>
      </c>
      <c r="B59" s="151" t="s">
        <v>101</v>
      </c>
      <c r="C59" s="147">
        <f>SUM(C51:C58)</f>
        <v>-78137982.534893647</v>
      </c>
      <c r="D59" s="147">
        <f t="shared" ref="D59:G59" si="9">SUM(D51:D58)</f>
        <v>0</v>
      </c>
      <c r="E59" s="147">
        <f t="shared" si="9"/>
        <v>-59317810.232716635</v>
      </c>
      <c r="F59" s="147">
        <f t="shared" si="9"/>
        <v>-18940460.557278231</v>
      </c>
      <c r="G59" s="147">
        <f t="shared" si="9"/>
        <v>120288.25510121686</v>
      </c>
    </row>
    <row r="60" spans="1:7" x14ac:dyDescent="0.3">
      <c r="A60" s="151">
        <v>56</v>
      </c>
      <c r="B60" s="151"/>
    </row>
    <row r="61" spans="1:7" ht="12.9" thickBot="1" x14ac:dyDescent="0.35">
      <c r="A61" s="151">
        <v>57</v>
      </c>
      <c r="B61" s="151" t="s">
        <v>58</v>
      </c>
      <c r="C61" s="148">
        <f>C48+C59</f>
        <v>255521353.16069478</v>
      </c>
      <c r="D61" s="148">
        <f t="shared" ref="D61:G61" si="10">D48+D59</f>
        <v>0</v>
      </c>
      <c r="E61" s="148">
        <f t="shared" si="10"/>
        <v>274830768.60792321</v>
      </c>
      <c r="F61" s="148">
        <f t="shared" si="10"/>
        <v>-18940460.557278231</v>
      </c>
      <c r="G61" s="148">
        <f t="shared" si="10"/>
        <v>-368954.88995022036</v>
      </c>
    </row>
    <row r="62" spans="1:7" ht="12.9" thickTop="1" x14ac:dyDescent="0.3">
      <c r="A62" s="151">
        <v>58</v>
      </c>
      <c r="B62" s="151"/>
    </row>
    <row r="63" spans="1:7" x14ac:dyDescent="0.3">
      <c r="A63" s="151">
        <v>59</v>
      </c>
      <c r="B63" s="157" t="s">
        <v>102</v>
      </c>
      <c r="C63" s="229">
        <f>(((C34+Unadj_Op_revenue)/(C61+Unadj_rate_base))-Weighted_cost_debt-Weighted_cost_pref)/Percent_common-Unadj_ROE</f>
        <v>-2.8925092336194363E-2</v>
      </c>
      <c r="D63" s="16">
        <f>(((D34+Unadj_Op_revenue)/(D61+Unadj_rate_base))-Weighted_cost_debt-Weighted_cost_pref)/Percent_common-Unadj_ROE</f>
        <v>2.6463891093827796E-3</v>
      </c>
      <c r="E63" s="158">
        <f>(((E34+Unadj_Op_revenue)/(E61+Unadj_rate_base))-Weighted_cost_debt-Weighted_cost_pref)/Percent_common-Unadj_ROE</f>
        <v>-3.9519467105952041E-2</v>
      </c>
      <c r="F63" s="158">
        <f>(((F34+Unadj_Op_revenue)/(F61+Unadj_rate_base))-Weighted_cost_debt-Weighted_cost_pref)/Percent_common-Unadj_ROE</f>
        <v>2.0711234803668238E-3</v>
      </c>
      <c r="G63" s="158">
        <f>(((G34+Unadj_Op_revenue)/(G61+Unadj_rate_base))-Weighted_cost_debt-Weighted_cost_pref)/Percent_common-Unadj_ROE</f>
        <v>1.0893551855071071E-2</v>
      </c>
    </row>
    <row r="64" spans="1:7" x14ac:dyDescent="0.3">
      <c r="A64" s="151">
        <v>60</v>
      </c>
      <c r="B64" s="149" t="s">
        <v>6</v>
      </c>
      <c r="C64" s="159">
        <f t="shared" ref="C64" si="11">-(C34-(C61*Overall_ROR))/gross_up_factor</f>
        <v>26063308.876654331</v>
      </c>
      <c r="D64" s="159">
        <f t="shared" ref="D64:E64" si="12">-(D34-(D61*Overall_ROR))/gross_up_factor</f>
        <v>-1462122.9930041884</v>
      </c>
      <c r="E64" s="159">
        <f t="shared" si="12"/>
        <v>35920326.462482907</v>
      </c>
      <c r="F64" s="159">
        <f t="shared" ref="F64:G64" si="13">-(F34-(F61*Overall_ROR))/gross_up_factor</f>
        <v>-1032215.6814761771</v>
      </c>
      <c r="G64" s="159">
        <f t="shared" si="13"/>
        <v>-7362678.9113482116</v>
      </c>
    </row>
    <row r="65" spans="1:7" x14ac:dyDescent="0.3">
      <c r="A65" s="151">
        <v>61</v>
      </c>
      <c r="B65" s="151"/>
    </row>
    <row r="66" spans="1:7" x14ac:dyDescent="0.3">
      <c r="A66" s="151">
        <v>62</v>
      </c>
      <c r="B66" s="151" t="s">
        <v>60</v>
      </c>
    </row>
    <row r="67" spans="1:7" x14ac:dyDescent="0.3">
      <c r="A67" s="151">
        <v>63</v>
      </c>
      <c r="B67" s="151" t="s">
        <v>61</v>
      </c>
      <c r="C67" s="146">
        <f>SUM(D67:G67)</f>
        <v>-2853123.1101710014</v>
      </c>
      <c r="D67" s="146">
        <f t="shared" ref="D67:G67" si="14">D10-D23-D24-D25-D26-D31</f>
        <v>1391459.8843043151</v>
      </c>
      <c r="E67" s="146">
        <f t="shared" si="14"/>
        <v>-9373113.8451537192</v>
      </c>
      <c r="F67" s="146">
        <f t="shared" si="14"/>
        <v>-1882727</v>
      </c>
      <c r="G67" s="146">
        <f t="shared" si="14"/>
        <v>7011257.8506784029</v>
      </c>
    </row>
    <row r="68" spans="1:7" x14ac:dyDescent="0.3">
      <c r="A68" s="151">
        <v>64</v>
      </c>
      <c r="B68" s="151" t="s">
        <v>62</v>
      </c>
      <c r="C68" s="146">
        <v>0</v>
      </c>
      <c r="D68" s="15">
        <f>SUM('Pro Forma Adj'!C75:E75)</f>
        <v>0</v>
      </c>
      <c r="E68" s="15">
        <f>SUM('Pro Forma Adj'!F75:O75)</f>
        <v>0</v>
      </c>
      <c r="F68" s="15">
        <f>SUM('Pro Forma Adj'!P75:U75)</f>
        <v>0</v>
      </c>
      <c r="G68" s="15">
        <f>SUM('Pro Forma Adj'!V75:W75)</f>
        <v>0</v>
      </c>
    </row>
    <row r="69" spans="1:7" x14ac:dyDescent="0.3">
      <c r="A69" s="151">
        <v>65</v>
      </c>
      <c r="B69" s="151" t="s">
        <v>63</v>
      </c>
      <c r="C69" s="146">
        <f>SUM(D69:G69)</f>
        <v>0</v>
      </c>
      <c r="D69" s="146">
        <f>SUM('Pro Forma Adj'!C76:E76)</f>
        <v>0</v>
      </c>
      <c r="E69" s="146">
        <f>SUM('Pro Forma Adj'!F76:O76)</f>
        <v>0</v>
      </c>
      <c r="F69" s="146">
        <f>SUM('Pro Forma Adj'!P76:U76)</f>
        <v>0</v>
      </c>
      <c r="G69" s="146">
        <f>SUM('Pro Forma Adj'!V76:W76)</f>
        <v>0</v>
      </c>
    </row>
    <row r="70" spans="1:7" x14ac:dyDescent="0.3">
      <c r="A70" s="151">
        <v>66</v>
      </c>
      <c r="B70" s="151" t="s">
        <v>64</v>
      </c>
      <c r="C70" s="146">
        <f>SUM(D70:G70)</f>
        <v>6194982.885017924</v>
      </c>
      <c r="D70" s="146">
        <f>SUM('Pro Forma Adj'!C77:E77)</f>
        <v>0</v>
      </c>
      <c r="E70" s="146">
        <f>SUM('Pro Forma Adj'!F77:O77)</f>
        <v>0</v>
      </c>
      <c r="F70" s="146">
        <f>SUM('Pro Forma Adj'!P77:U77)</f>
        <v>6194982.885017924</v>
      </c>
      <c r="G70" s="146">
        <f>SUM('Pro Forma Adj'!V77:W77)</f>
        <v>0</v>
      </c>
    </row>
    <row r="71" spans="1:7" x14ac:dyDescent="0.3">
      <c r="A71" s="151">
        <v>67</v>
      </c>
      <c r="B71" s="155" t="s">
        <v>65</v>
      </c>
      <c r="C71" s="146">
        <f>SUM(D71:G71)</f>
        <v>10421703.942504384</v>
      </c>
      <c r="D71" s="146">
        <f>SUM('Pro Forma Adj'!C78:E78)</f>
        <v>0</v>
      </c>
      <c r="E71" s="146">
        <f>SUM('Pro Forma Adj'!F78:O78)</f>
        <v>264567.59324455645</v>
      </c>
      <c r="F71" s="146">
        <f>SUM('Pro Forma Adj'!P78:U78)</f>
        <v>10157136.349259827</v>
      </c>
      <c r="G71" s="146">
        <f>SUM('Pro Forma Adj'!V78:W78)</f>
        <v>0</v>
      </c>
    </row>
    <row r="72" spans="1:7" x14ac:dyDescent="0.3">
      <c r="A72" s="151">
        <v>68</v>
      </c>
      <c r="B72" s="155" t="s">
        <v>66</v>
      </c>
      <c r="C72" s="161">
        <f>SUM(D72:G72)</f>
        <v>21588036.603057332</v>
      </c>
      <c r="D72" s="146">
        <f>SUM('Pro Forma Adj'!C79:E79)</f>
        <v>0</v>
      </c>
      <c r="E72" s="146">
        <f>SUM('Pro Forma Adj'!F79:O79)</f>
        <v>3786204.9762987876</v>
      </c>
      <c r="F72" s="146">
        <f>SUM('Pro Forma Adj'!P79:U79)</f>
        <v>16975738.796758544</v>
      </c>
      <c r="G72" s="146">
        <f>SUM('Pro Forma Adj'!V79:W79)</f>
        <v>826092.83000000054</v>
      </c>
    </row>
    <row r="73" spans="1:7" x14ac:dyDescent="0.3">
      <c r="A73" s="151">
        <v>69</v>
      </c>
      <c r="B73" s="155" t="s">
        <v>67</v>
      </c>
      <c r="C73" s="154">
        <f>SUM(D73:G73)</f>
        <v>-20214438.65574187</v>
      </c>
      <c r="D73" s="160">
        <f>D67-D69-D70+D71-D72</f>
        <v>1391459.8843043151</v>
      </c>
      <c r="E73" s="160">
        <f>E67-E69-E70+E71-E72</f>
        <v>-12894751.22820795</v>
      </c>
      <c r="F73" s="160">
        <f>F67-F69-F70+F71-F72</f>
        <v>-14896312.33251664</v>
      </c>
      <c r="G73" s="160">
        <f>G67-G69-G70+G71-G72</f>
        <v>6185165.0206784029</v>
      </c>
    </row>
    <row r="74" spans="1:7" x14ac:dyDescent="0.3">
      <c r="A74" s="151">
        <v>70</v>
      </c>
      <c r="B74" s="151"/>
      <c r="C74" s="146"/>
      <c r="D74" s="146"/>
      <c r="E74" s="146"/>
      <c r="F74" s="146"/>
      <c r="G74" s="146"/>
    </row>
    <row r="75" spans="1:7" x14ac:dyDescent="0.3">
      <c r="A75" s="151">
        <v>71</v>
      </c>
      <c r="B75" s="151" t="s">
        <v>68</v>
      </c>
      <c r="C75" s="146">
        <f>SUM(D75:G75)</f>
        <v>0</v>
      </c>
      <c r="D75" s="146">
        <f>H162</f>
        <v>0</v>
      </c>
      <c r="E75" s="146">
        <f>I162</f>
        <v>0</v>
      </c>
      <c r="F75" s="146">
        <f>J162</f>
        <v>0</v>
      </c>
      <c r="G75" s="146">
        <f>K162</f>
        <v>0</v>
      </c>
    </row>
    <row r="76" spans="1:7" x14ac:dyDescent="0.3">
      <c r="A76" s="151">
        <v>72</v>
      </c>
      <c r="B76" s="151" t="s">
        <v>69</v>
      </c>
      <c r="C76" s="146">
        <f>SUM(D76:G76)</f>
        <v>-20214438.65574187</v>
      </c>
      <c r="D76" s="146">
        <f>D73-D75</f>
        <v>1391459.8843043151</v>
      </c>
      <c r="E76" s="146">
        <f>E73-E75</f>
        <v>-12894751.22820795</v>
      </c>
      <c r="F76" s="146">
        <f>F73-F75</f>
        <v>-14896312.33251664</v>
      </c>
      <c r="G76" s="146">
        <f>G73-G75</f>
        <v>6185165.0206784029</v>
      </c>
    </row>
    <row r="77" spans="1:7" x14ac:dyDescent="0.3">
      <c r="A77" s="151">
        <v>73</v>
      </c>
      <c r="B77" s="151"/>
    </row>
    <row r="78" spans="1:7" x14ac:dyDescent="0.3">
      <c r="A78" s="151">
        <v>74</v>
      </c>
      <c r="B78" s="151" t="s">
        <v>81</v>
      </c>
      <c r="C78" s="146">
        <f>SUM(D78:G78)</f>
        <v>-4245032.1177057922</v>
      </c>
      <c r="D78" s="146">
        <f t="shared" ref="D78:G78" si="15">D76*0.21</f>
        <v>292206.57570390613</v>
      </c>
      <c r="E78" s="146">
        <f t="shared" si="15"/>
        <v>-2707897.7579236692</v>
      </c>
      <c r="F78" s="146">
        <f t="shared" si="15"/>
        <v>-3128225.5898284945</v>
      </c>
      <c r="G78" s="146">
        <f t="shared" si="15"/>
        <v>1298884.6543424646</v>
      </c>
    </row>
    <row r="79" spans="1:7" x14ac:dyDescent="0.3">
      <c r="A79" s="151">
        <v>75</v>
      </c>
      <c r="B79" s="151" t="s">
        <v>80</v>
      </c>
      <c r="C79" s="146">
        <f>SUM(D79:G79)</f>
        <v>0</v>
      </c>
      <c r="D79" s="146">
        <f>SUM('Pro Forma Adj'!C86:E86)</f>
        <v>0</v>
      </c>
      <c r="E79" s="146">
        <f>SUM('Pro Forma Adj'!F86:O86)</f>
        <v>0</v>
      </c>
      <c r="F79" s="146">
        <f>SUM('Pro Forma Adj'!P86:U86)</f>
        <v>0</v>
      </c>
      <c r="G79" s="146">
        <f>SUM('Pro Forma Adj'!V86:W86)</f>
        <v>0</v>
      </c>
    </row>
    <row r="80" spans="1:7" ht="12.9" thickBot="1" x14ac:dyDescent="0.35">
      <c r="A80" s="151">
        <v>76</v>
      </c>
      <c r="B80" s="151" t="s">
        <v>81</v>
      </c>
      <c r="C80" s="150">
        <f>SUM(D80:G80)</f>
        <v>-4245032.1177057922</v>
      </c>
      <c r="D80" s="150">
        <f t="shared" ref="D80:G80" si="16">D78+D79</f>
        <v>292206.57570390613</v>
      </c>
      <c r="E80" s="150">
        <f t="shared" si="16"/>
        <v>-2707897.7579236692</v>
      </c>
      <c r="F80" s="150">
        <f t="shared" si="16"/>
        <v>-3128225.5898284945</v>
      </c>
      <c r="G80" s="150">
        <f t="shared" si="16"/>
        <v>1298884.6543424646</v>
      </c>
    </row>
    <row r="81" ht="12.9" thickTop="1" x14ac:dyDescent="0.3"/>
  </sheetData>
  <mergeCells count="1">
    <mergeCell ref="B1:G1"/>
  </mergeCells>
  <pageMargins left="0.5" right="0.5" top="0.4" bottom="0.25" header="0.25" footer="0.3"/>
  <pageSetup scale="71" orientation="portrait" r:id="rId1"/>
  <headerFooter>
    <oddHeader>&amp;RPage 3</oddHeader>
  </headerFooter>
  <customProperties>
    <customPr name="_pios_id" r:id="rId2"/>
  </customProperties>
  <ignoredErrors>
    <ignoredError sqref="C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A6C-DE30-40AB-9CA4-666ACF2B4AAD}">
  <sheetPr>
    <pageSetUpPr fitToPage="1"/>
  </sheetPr>
  <dimension ref="A2:E92"/>
  <sheetViews>
    <sheetView showOutlineSymbols="0" topLeftCell="A16" workbookViewId="0"/>
  </sheetViews>
  <sheetFormatPr defaultColWidth="9.15234375" defaultRowHeight="12.45" x14ac:dyDescent="0.3"/>
  <cols>
    <col min="1" max="1" width="36.23046875" style="2" customWidth="1"/>
    <col min="2" max="2" width="19" style="2" customWidth="1"/>
    <col min="3" max="3" width="17.23046875" style="2" bestFit="1" customWidth="1"/>
    <col min="4" max="5" width="16" style="2" customWidth="1"/>
    <col min="6" max="16384" width="9.15234375" style="15"/>
  </cols>
  <sheetData>
    <row r="2" spans="1:5" s="2" customFormat="1" x14ac:dyDescent="0.3">
      <c r="A2" s="236"/>
    </row>
    <row r="3" spans="1:5" s="2" customFormat="1" x14ac:dyDescent="0.3">
      <c r="A3" s="237"/>
    </row>
    <row r="4" spans="1:5" s="2" customFormat="1" x14ac:dyDescent="0.3">
      <c r="A4" s="238"/>
    </row>
    <row r="5" spans="1:5" s="2" customFormat="1" x14ac:dyDescent="0.3">
      <c r="A5" s="239"/>
    </row>
    <row r="6" spans="1:5" s="4" customFormat="1" x14ac:dyDescent="0.3">
      <c r="A6" s="238"/>
      <c r="E6" s="200"/>
    </row>
    <row r="7" spans="1:5" x14ac:dyDescent="0.3">
      <c r="B7" s="54"/>
      <c r="C7" s="54" t="str">
        <f>'Pro Forma Adj'!C8</f>
        <v>13.1</v>
      </c>
      <c r="D7" s="54" t="str">
        <f>'Pro Forma Adj'!D8</f>
        <v>13.2</v>
      </c>
      <c r="E7" s="54" t="str">
        <f>'Pro Forma Adj'!E8</f>
        <v>13.3</v>
      </c>
    </row>
    <row r="8" spans="1:5" s="113" customFormat="1" ht="81" customHeight="1" x14ac:dyDescent="0.3">
      <c r="A8" s="13"/>
      <c r="B8" s="231" t="s">
        <v>226</v>
      </c>
      <c r="C8" s="230" t="str">
        <f>'Pro Forma Adj'!C9</f>
        <v>Wheeling Revenues - 
Year 2</v>
      </c>
      <c r="D8" s="230" t="str">
        <f>'Pro Forma Adj'!D9</f>
        <v xml:space="preserve">General Wage Increase (Pro Forma) - 
Year 2 </v>
      </c>
      <c r="E8" s="230" t="str">
        <f>'Pro Forma Adj'!E9</f>
        <v>Pryor Mountain REC Revenues - Year 2</v>
      </c>
    </row>
    <row r="9" spans="1:5" x14ac:dyDescent="0.3">
      <c r="B9" s="232"/>
    </row>
    <row r="10" spans="1:5" x14ac:dyDescent="0.3">
      <c r="A10" s="13" t="s">
        <v>8</v>
      </c>
      <c r="B10" s="12"/>
      <c r="C10" s="12"/>
      <c r="D10" s="12"/>
      <c r="E10" s="12"/>
    </row>
    <row r="11" spans="1:5" x14ac:dyDescent="0.3">
      <c r="A11" s="13" t="s">
        <v>9</v>
      </c>
      <c r="B11" s="58">
        <f>SUM(C11:E11)</f>
        <v>0</v>
      </c>
      <c r="C11" s="60">
        <f>'Pro Forma Adj'!C12</f>
        <v>0</v>
      </c>
      <c r="D11" s="60">
        <f>'Pro Forma Adj'!D12</f>
        <v>0</v>
      </c>
      <c r="E11" s="60">
        <f>'Pro Forma Adj'!E12</f>
        <v>0</v>
      </c>
    </row>
    <row r="12" spans="1:5" x14ac:dyDescent="0.3">
      <c r="A12" s="13" t="s">
        <v>10</v>
      </c>
      <c r="B12" s="58">
        <f>SUM(C12:E12)</f>
        <v>0</v>
      </c>
      <c r="C12" s="60">
        <f>'Pro Forma Adj'!C13</f>
        <v>0</v>
      </c>
      <c r="D12" s="60">
        <f>'Pro Forma Adj'!D13</f>
        <v>0</v>
      </c>
      <c r="E12" s="60">
        <f>'Pro Forma Adj'!E13</f>
        <v>0</v>
      </c>
    </row>
    <row r="13" spans="1:5" x14ac:dyDescent="0.3">
      <c r="A13" s="13" t="s">
        <v>11</v>
      </c>
      <c r="B13" s="58">
        <f>SUM(C13:E13)</f>
        <v>0</v>
      </c>
      <c r="C13" s="60">
        <f>'Pro Forma Adj'!C14</f>
        <v>0</v>
      </c>
      <c r="D13" s="60">
        <f>'Pro Forma Adj'!D14</f>
        <v>0</v>
      </c>
      <c r="E13" s="60">
        <f>'Pro Forma Adj'!E14</f>
        <v>0</v>
      </c>
    </row>
    <row r="14" spans="1:5" x14ac:dyDescent="0.3">
      <c r="A14" s="13" t="s">
        <v>12</v>
      </c>
      <c r="B14" s="58">
        <f>SUM(C14:E14)</f>
        <v>2100780.9236015039</v>
      </c>
      <c r="C14" s="60">
        <f>'Pro Forma Adj'!C15</f>
        <v>2301415.0116205518</v>
      </c>
      <c r="D14" s="60">
        <f>'Pro Forma Adj'!D15</f>
        <v>0</v>
      </c>
      <c r="E14" s="60">
        <f>'Pro Forma Adj'!E15</f>
        <v>-200634.08801904801</v>
      </c>
    </row>
    <row r="15" spans="1:5" x14ac:dyDescent="0.3">
      <c r="A15" s="13" t="s">
        <v>13</v>
      </c>
      <c r="B15" s="204">
        <f>SUM(C15:E15)</f>
        <v>2100780.9236015039</v>
      </c>
      <c r="C15" s="204">
        <f t="shared" ref="C15:E15" si="0">SUM(C11:C14)</f>
        <v>2301415.0116205518</v>
      </c>
      <c r="D15" s="204">
        <f t="shared" si="0"/>
        <v>0</v>
      </c>
      <c r="E15" s="204">
        <f t="shared" si="0"/>
        <v>-200634.08801904801</v>
      </c>
    </row>
    <row r="16" spans="1:5" x14ac:dyDescent="0.3">
      <c r="A16" s="13"/>
      <c r="B16" s="12"/>
      <c r="C16" s="12"/>
      <c r="D16" s="12"/>
      <c r="E16" s="12"/>
    </row>
    <row r="17" spans="1:5" x14ac:dyDescent="0.3">
      <c r="A17" s="13" t="s">
        <v>14</v>
      </c>
      <c r="B17" s="12"/>
      <c r="C17" s="12"/>
      <c r="D17" s="12"/>
      <c r="E17" s="12"/>
    </row>
    <row r="18" spans="1:5" x14ac:dyDescent="0.3">
      <c r="A18" s="13" t="s">
        <v>15</v>
      </c>
      <c r="B18" s="58">
        <f t="shared" ref="B18:B39" si="1">SUM(C18:E18)</f>
        <v>120646.8440166338</v>
      </c>
      <c r="C18" s="60">
        <f>'Pro Forma Adj'!C19</f>
        <v>0</v>
      </c>
      <c r="D18" s="60">
        <f>'Pro Forma Adj'!D19</f>
        <v>120646.8440166338</v>
      </c>
      <c r="E18" s="60">
        <f>'Pro Forma Adj'!E19</f>
        <v>0</v>
      </c>
    </row>
    <row r="19" spans="1:5" x14ac:dyDescent="0.3">
      <c r="A19" s="13" t="s">
        <v>16</v>
      </c>
      <c r="B19" s="58">
        <f t="shared" si="1"/>
        <v>0</v>
      </c>
      <c r="C19" s="60">
        <f>'Pro Forma Adj'!C20</f>
        <v>0</v>
      </c>
      <c r="D19" s="60">
        <f>'Pro Forma Adj'!D20</f>
        <v>0</v>
      </c>
      <c r="E19" s="60">
        <f>'Pro Forma Adj'!E20</f>
        <v>0</v>
      </c>
    </row>
    <row r="20" spans="1:5" x14ac:dyDescent="0.3">
      <c r="A20" s="13" t="s">
        <v>17</v>
      </c>
      <c r="B20" s="58">
        <f t="shared" si="1"/>
        <v>42898.766456511425</v>
      </c>
      <c r="C20" s="60">
        <f>'Pro Forma Adj'!C21</f>
        <v>0</v>
      </c>
      <c r="D20" s="60">
        <f>'Pro Forma Adj'!D21</f>
        <v>42898.766456511425</v>
      </c>
      <c r="E20" s="60">
        <f>'Pro Forma Adj'!E21</f>
        <v>0</v>
      </c>
    </row>
    <row r="21" spans="1:5" x14ac:dyDescent="0.3">
      <c r="A21" s="13" t="s">
        <v>18</v>
      </c>
      <c r="B21" s="58">
        <f t="shared" si="1"/>
        <v>72943.843227417281</v>
      </c>
      <c r="C21" s="60">
        <f>'Pro Forma Adj'!C22</f>
        <v>0</v>
      </c>
      <c r="D21" s="60">
        <f>'Pro Forma Adj'!D22</f>
        <v>72943.843227417281</v>
      </c>
      <c r="E21" s="60">
        <f>'Pro Forma Adj'!E22</f>
        <v>0</v>
      </c>
    </row>
    <row r="22" spans="1:5" x14ac:dyDescent="0.3">
      <c r="A22" s="13" t="s">
        <v>19</v>
      </c>
      <c r="B22" s="58">
        <f t="shared" si="1"/>
        <v>41939.221287158143</v>
      </c>
      <c r="C22" s="60">
        <f>'Pro Forma Adj'!C23</f>
        <v>0</v>
      </c>
      <c r="D22" s="60">
        <f>'Pro Forma Adj'!D23</f>
        <v>41939.221287158143</v>
      </c>
      <c r="E22" s="60">
        <f>'Pro Forma Adj'!E23</f>
        <v>0</v>
      </c>
    </row>
    <row r="23" spans="1:5" x14ac:dyDescent="0.3">
      <c r="A23" s="13" t="s">
        <v>20</v>
      </c>
      <c r="B23" s="58">
        <f t="shared" si="1"/>
        <v>283467.2928264293</v>
      </c>
      <c r="C23" s="60">
        <f>'Pro Forma Adj'!C24</f>
        <v>0</v>
      </c>
      <c r="D23" s="60">
        <f>'Pro Forma Adj'!D24</f>
        <v>283467.2928264293</v>
      </c>
      <c r="E23" s="60">
        <f>'Pro Forma Adj'!E24</f>
        <v>0</v>
      </c>
    </row>
    <row r="24" spans="1:5" x14ac:dyDescent="0.3">
      <c r="A24" s="13" t="s">
        <v>21</v>
      </c>
      <c r="B24" s="58">
        <f t="shared" si="1"/>
        <v>64890.714644478132</v>
      </c>
      <c r="C24" s="60">
        <f>'Pro Forma Adj'!C25</f>
        <v>0</v>
      </c>
      <c r="D24" s="60">
        <f>'Pro Forma Adj'!D25</f>
        <v>64890.714644478132</v>
      </c>
      <c r="E24" s="60">
        <f>'Pro Forma Adj'!E25</f>
        <v>0</v>
      </c>
    </row>
    <row r="25" spans="1:5" x14ac:dyDescent="0.3">
      <c r="A25" s="13" t="s">
        <v>22</v>
      </c>
      <c r="B25" s="58">
        <f t="shared" si="1"/>
        <v>26362.070195963275</v>
      </c>
      <c r="C25" s="60">
        <f>'Pro Forma Adj'!C26</f>
        <v>0</v>
      </c>
      <c r="D25" s="60">
        <f>'Pro Forma Adj'!D26</f>
        <v>26362.070195963275</v>
      </c>
      <c r="E25" s="60">
        <f>'Pro Forma Adj'!E26</f>
        <v>0</v>
      </c>
    </row>
    <row r="26" spans="1:5" x14ac:dyDescent="0.3">
      <c r="A26" s="13" t="s">
        <v>23</v>
      </c>
      <c r="B26" s="58">
        <f t="shared" si="1"/>
        <v>0</v>
      </c>
      <c r="C26" s="60">
        <f>'Pro Forma Adj'!C27</f>
        <v>0</v>
      </c>
      <c r="D26" s="60">
        <f>'Pro Forma Adj'!D27</f>
        <v>0</v>
      </c>
      <c r="E26" s="60">
        <f>'Pro Forma Adj'!E27</f>
        <v>0</v>
      </c>
    </row>
    <row r="27" spans="1:5" x14ac:dyDescent="0.3">
      <c r="A27" s="13" t="s">
        <v>24</v>
      </c>
      <c r="B27" s="64">
        <f t="shared" si="1"/>
        <v>56172.286642597501</v>
      </c>
      <c r="C27" s="63">
        <f>'Pro Forma Adj'!C28</f>
        <v>0</v>
      </c>
      <c r="D27" s="63">
        <f>'Pro Forma Adj'!D28</f>
        <v>56172.286642597501</v>
      </c>
      <c r="E27" s="63">
        <f>'Pro Forma Adj'!E28</f>
        <v>0</v>
      </c>
    </row>
    <row r="28" spans="1:5" x14ac:dyDescent="0.3">
      <c r="A28" s="13" t="s">
        <v>25</v>
      </c>
      <c r="B28" s="12">
        <f t="shared" si="1"/>
        <v>709321.03929718887</v>
      </c>
      <c r="C28" s="12">
        <f t="shared" ref="C28:E28" si="2">SUM(C18:C27)</f>
        <v>0</v>
      </c>
      <c r="D28" s="12">
        <f t="shared" si="2"/>
        <v>709321.03929718887</v>
      </c>
      <c r="E28" s="12">
        <f t="shared" si="2"/>
        <v>0</v>
      </c>
    </row>
    <row r="29" spans="1:5" x14ac:dyDescent="0.3">
      <c r="A29" s="13" t="s">
        <v>26</v>
      </c>
      <c r="B29" s="58">
        <f t="shared" si="1"/>
        <v>0</v>
      </c>
      <c r="C29" s="60">
        <f>'Pro Forma Adj'!C30</f>
        <v>0</v>
      </c>
      <c r="D29" s="60">
        <f>'Pro Forma Adj'!D30</f>
        <v>0</v>
      </c>
      <c r="E29" s="60">
        <f>'Pro Forma Adj'!E30</f>
        <v>0</v>
      </c>
    </row>
    <row r="30" spans="1:5" x14ac:dyDescent="0.3">
      <c r="A30" s="13" t="s">
        <v>27</v>
      </c>
      <c r="B30" s="58">
        <f t="shared" si="1"/>
        <v>0</v>
      </c>
      <c r="C30" s="60">
        <f>'Pro Forma Adj'!C31</f>
        <v>0</v>
      </c>
      <c r="D30" s="60">
        <f>'Pro Forma Adj'!D31</f>
        <v>0</v>
      </c>
      <c r="E30" s="60">
        <f>'Pro Forma Adj'!E31</f>
        <v>0</v>
      </c>
    </row>
    <row r="31" spans="1:5" x14ac:dyDescent="0.3">
      <c r="A31" s="13" t="s">
        <v>28</v>
      </c>
      <c r="B31" s="58">
        <f t="shared" si="1"/>
        <v>0</v>
      </c>
      <c r="C31" s="60">
        <f>'Pro Forma Adj'!C32</f>
        <v>0</v>
      </c>
      <c r="D31" s="60">
        <f>'Pro Forma Adj'!D32</f>
        <v>0</v>
      </c>
      <c r="E31" s="60">
        <f>'Pro Forma Adj'!E32</f>
        <v>0</v>
      </c>
    </row>
    <row r="32" spans="1:5" x14ac:dyDescent="0.3">
      <c r="A32" s="13" t="s">
        <v>29</v>
      </c>
      <c r="B32" s="58">
        <f t="shared" si="1"/>
        <v>292206.57570390613</v>
      </c>
      <c r="C32" s="60">
        <f>C86</f>
        <v>483297.15244031587</v>
      </c>
      <c r="D32" s="60">
        <f t="shared" ref="D32:E32" si="3">D86</f>
        <v>-148957.41825240967</v>
      </c>
      <c r="E32" s="60">
        <f t="shared" si="3"/>
        <v>-42133.15848400008</v>
      </c>
    </row>
    <row r="33" spans="1:5" x14ac:dyDescent="0.3">
      <c r="A33" s="13" t="s">
        <v>30</v>
      </c>
      <c r="B33" s="58">
        <f t="shared" si="1"/>
        <v>0</v>
      </c>
      <c r="C33" s="58">
        <f>'Pro Forma Adj'!C34</f>
        <v>0</v>
      </c>
      <c r="D33" s="58">
        <f>'Pro Forma Adj'!D34</f>
        <v>0</v>
      </c>
      <c r="E33" s="58">
        <f>'Pro Forma Adj'!E34</f>
        <v>0</v>
      </c>
    </row>
    <row r="34" spans="1:5" x14ac:dyDescent="0.3">
      <c r="A34" s="13" t="s">
        <v>31</v>
      </c>
      <c r="B34" s="58">
        <f t="shared" si="1"/>
        <v>0</v>
      </c>
      <c r="C34" s="60">
        <f>'Pro Forma Adj'!C35</f>
        <v>0</v>
      </c>
      <c r="D34" s="60">
        <f>'Pro Forma Adj'!D35</f>
        <v>0</v>
      </c>
      <c r="E34" s="60">
        <f>'Pro Forma Adj'!E35</f>
        <v>0</v>
      </c>
    </row>
    <row r="35" spans="1:5" x14ac:dyDescent="0.3">
      <c r="A35" s="13" t="s">
        <v>32</v>
      </c>
      <c r="B35" s="58">
        <f t="shared" si="1"/>
        <v>0</v>
      </c>
      <c r="C35" s="60">
        <f>'Pro Forma Adj'!C36</f>
        <v>0</v>
      </c>
      <c r="D35" s="60">
        <f>'Pro Forma Adj'!D36</f>
        <v>0</v>
      </c>
      <c r="E35" s="60">
        <f>'Pro Forma Adj'!E36</f>
        <v>0</v>
      </c>
    </row>
    <row r="36" spans="1:5" x14ac:dyDescent="0.3">
      <c r="A36" s="13" t="s">
        <v>33</v>
      </c>
      <c r="B36" s="58">
        <f t="shared" si="1"/>
        <v>0</v>
      </c>
      <c r="C36" s="60">
        <f>'Pro Forma Adj'!C37</f>
        <v>0</v>
      </c>
      <c r="D36" s="60">
        <f>'Pro Forma Adj'!D37</f>
        <v>0</v>
      </c>
      <c r="E36" s="60">
        <f>'Pro Forma Adj'!E37</f>
        <v>0</v>
      </c>
    </row>
    <row r="37" spans="1:5" x14ac:dyDescent="0.3">
      <c r="A37" s="13" t="s">
        <v>34</v>
      </c>
      <c r="B37" s="204">
        <f t="shared" si="1"/>
        <v>1001527.6150010949</v>
      </c>
      <c r="C37" s="204">
        <f>SUM(C28:C36)</f>
        <v>483297.15244031587</v>
      </c>
      <c r="D37" s="204">
        <f t="shared" ref="D37:E37" si="4">SUM(D28:D36)</f>
        <v>560363.6210447792</v>
      </c>
      <c r="E37" s="204">
        <f t="shared" si="4"/>
        <v>-42133.15848400008</v>
      </c>
    </row>
    <row r="38" spans="1:5" x14ac:dyDescent="0.3">
      <c r="A38" s="13"/>
      <c r="B38" s="12">
        <f t="shared" si="1"/>
        <v>0</v>
      </c>
      <c r="C38" s="12"/>
      <c r="D38" s="12"/>
      <c r="E38" s="12"/>
    </row>
    <row r="39" spans="1:5" ht="12.9" thickBot="1" x14ac:dyDescent="0.35">
      <c r="A39" s="13" t="s">
        <v>35</v>
      </c>
      <c r="B39" s="208">
        <f t="shared" si="1"/>
        <v>1099253.308600409</v>
      </c>
      <c r="C39" s="208">
        <f t="shared" ref="C39:E39" si="5">C15-C37</f>
        <v>1818117.859180236</v>
      </c>
      <c r="D39" s="208">
        <f t="shared" si="5"/>
        <v>-560363.6210447792</v>
      </c>
      <c r="E39" s="208">
        <f t="shared" si="5"/>
        <v>-158500.92953504794</v>
      </c>
    </row>
    <row r="40" spans="1:5" ht="12.9" thickTop="1" x14ac:dyDescent="0.3">
      <c r="A40" s="13"/>
      <c r="B40" s="12"/>
      <c r="C40" s="12"/>
      <c r="D40" s="12"/>
      <c r="E40" s="12"/>
    </row>
    <row r="41" spans="1:5" x14ac:dyDescent="0.3">
      <c r="A41" s="13" t="s">
        <v>36</v>
      </c>
      <c r="B41" s="12"/>
      <c r="C41" s="12"/>
      <c r="D41" s="12"/>
      <c r="E41" s="12"/>
    </row>
    <row r="42" spans="1:5" x14ac:dyDescent="0.3">
      <c r="A42" s="13" t="s">
        <v>37</v>
      </c>
      <c r="B42" s="58">
        <f t="shared" ref="B42:B53" si="6">SUM(C42:E42)</f>
        <v>0</v>
      </c>
      <c r="C42" s="60">
        <f>'Pro Forma Adj'!C43</f>
        <v>0</v>
      </c>
      <c r="D42" s="60">
        <f>'Pro Forma Adj'!D43</f>
        <v>0</v>
      </c>
      <c r="E42" s="60">
        <f>'Pro Forma Adj'!E43</f>
        <v>0</v>
      </c>
    </row>
    <row r="43" spans="1:5" x14ac:dyDescent="0.3">
      <c r="A43" s="13" t="s">
        <v>38</v>
      </c>
      <c r="B43" s="58">
        <f t="shared" si="6"/>
        <v>0</v>
      </c>
      <c r="C43" s="60">
        <f>'Pro Forma Adj'!C44</f>
        <v>0</v>
      </c>
      <c r="D43" s="60">
        <f>'Pro Forma Adj'!D44</f>
        <v>0</v>
      </c>
      <c r="E43" s="60">
        <f>'Pro Forma Adj'!E44</f>
        <v>0</v>
      </c>
    </row>
    <row r="44" spans="1:5" x14ac:dyDescent="0.3">
      <c r="A44" s="13" t="s">
        <v>39</v>
      </c>
      <c r="B44" s="58">
        <f t="shared" si="6"/>
        <v>0</v>
      </c>
      <c r="C44" s="60">
        <f>'Pro Forma Adj'!C45</f>
        <v>0</v>
      </c>
      <c r="D44" s="60">
        <f>'Pro Forma Adj'!D45</f>
        <v>0</v>
      </c>
      <c r="E44" s="60">
        <f>'Pro Forma Adj'!E45</f>
        <v>0</v>
      </c>
    </row>
    <row r="45" spans="1:5" x14ac:dyDescent="0.3">
      <c r="A45" s="13" t="s">
        <v>40</v>
      </c>
      <c r="B45" s="58">
        <f t="shared" si="6"/>
        <v>0</v>
      </c>
      <c r="C45" s="60">
        <f>'Pro Forma Adj'!C46</f>
        <v>0</v>
      </c>
      <c r="D45" s="60">
        <f>'Pro Forma Adj'!D46</f>
        <v>0</v>
      </c>
      <c r="E45" s="60">
        <f>'Pro Forma Adj'!E46</f>
        <v>0</v>
      </c>
    </row>
    <row r="46" spans="1:5" x14ac:dyDescent="0.3">
      <c r="A46" s="13" t="s">
        <v>41</v>
      </c>
      <c r="B46" s="58">
        <f t="shared" si="6"/>
        <v>0</v>
      </c>
      <c r="C46" s="60">
        <f>'Pro Forma Adj'!C47</f>
        <v>0</v>
      </c>
      <c r="D46" s="60">
        <f>'Pro Forma Adj'!D47</f>
        <v>0</v>
      </c>
      <c r="E46" s="60">
        <f>'Pro Forma Adj'!E47</f>
        <v>0</v>
      </c>
    </row>
    <row r="47" spans="1:5" x14ac:dyDescent="0.3">
      <c r="A47" s="13" t="s">
        <v>42</v>
      </c>
      <c r="B47" s="58">
        <f t="shared" si="6"/>
        <v>0</v>
      </c>
      <c r="C47" s="60">
        <f>'Pro Forma Adj'!C48</f>
        <v>0</v>
      </c>
      <c r="D47" s="60">
        <f>'Pro Forma Adj'!D48</f>
        <v>0</v>
      </c>
      <c r="E47" s="60">
        <f>'Pro Forma Adj'!E48</f>
        <v>0</v>
      </c>
    </row>
    <row r="48" spans="1:5" x14ac:dyDescent="0.3">
      <c r="A48" s="13" t="s">
        <v>43</v>
      </c>
      <c r="B48" s="58">
        <f t="shared" si="6"/>
        <v>0</v>
      </c>
      <c r="C48" s="60">
        <f>'Pro Forma Adj'!C49</f>
        <v>0</v>
      </c>
      <c r="D48" s="60">
        <f>'Pro Forma Adj'!D49</f>
        <v>0</v>
      </c>
      <c r="E48" s="60">
        <f>'Pro Forma Adj'!E49</f>
        <v>0</v>
      </c>
    </row>
    <row r="49" spans="1:5" x14ac:dyDescent="0.3">
      <c r="A49" s="13" t="s">
        <v>44</v>
      </c>
      <c r="B49" s="58">
        <f t="shared" si="6"/>
        <v>0</v>
      </c>
      <c r="C49" s="60">
        <f>'Pro Forma Adj'!C50</f>
        <v>0</v>
      </c>
      <c r="D49" s="60">
        <f>'Pro Forma Adj'!D50</f>
        <v>0</v>
      </c>
      <c r="E49" s="60">
        <f>'Pro Forma Adj'!E50</f>
        <v>0</v>
      </c>
    </row>
    <row r="50" spans="1:5" x14ac:dyDescent="0.3">
      <c r="A50" s="13" t="s">
        <v>45</v>
      </c>
      <c r="B50" s="58">
        <f t="shared" si="6"/>
        <v>0</v>
      </c>
      <c r="C50" s="60">
        <f>'Pro Forma Adj'!C51</f>
        <v>0</v>
      </c>
      <c r="D50" s="60">
        <f>'Pro Forma Adj'!D51</f>
        <v>0</v>
      </c>
      <c r="E50" s="60">
        <f>'Pro Forma Adj'!E51</f>
        <v>0</v>
      </c>
    </row>
    <row r="51" spans="1:5" x14ac:dyDescent="0.3">
      <c r="A51" s="13" t="s">
        <v>46</v>
      </c>
      <c r="B51" s="58">
        <f t="shared" si="6"/>
        <v>0</v>
      </c>
      <c r="C51" s="60">
        <f>'Pro Forma Adj'!C52</f>
        <v>0</v>
      </c>
      <c r="D51" s="60">
        <f>'Pro Forma Adj'!D52</f>
        <v>0</v>
      </c>
      <c r="E51" s="60">
        <f>'Pro Forma Adj'!E52</f>
        <v>0</v>
      </c>
    </row>
    <row r="52" spans="1:5" x14ac:dyDescent="0.3">
      <c r="A52" s="13" t="s">
        <v>47</v>
      </c>
      <c r="B52" s="58">
        <f t="shared" si="6"/>
        <v>0</v>
      </c>
      <c r="C52" s="60">
        <f>'Pro Forma Adj'!C53</f>
        <v>0</v>
      </c>
      <c r="D52" s="60">
        <f>'Pro Forma Adj'!D53</f>
        <v>0</v>
      </c>
      <c r="E52" s="60">
        <f>'Pro Forma Adj'!E53</f>
        <v>0</v>
      </c>
    </row>
    <row r="53" spans="1:5" x14ac:dyDescent="0.3">
      <c r="A53" s="13" t="s">
        <v>48</v>
      </c>
      <c r="B53" s="211">
        <f t="shared" si="6"/>
        <v>0</v>
      </c>
      <c r="C53" s="211">
        <f>SUM(C42:C52)</f>
        <v>0</v>
      </c>
      <c r="D53" s="211">
        <f t="shared" ref="D53:E53" si="7">SUM(D42:D52)</f>
        <v>0</v>
      </c>
      <c r="E53" s="211">
        <f t="shared" si="7"/>
        <v>0</v>
      </c>
    </row>
    <row r="54" spans="1:5" x14ac:dyDescent="0.3">
      <c r="A54" s="13"/>
      <c r="B54" s="12"/>
      <c r="C54" s="12"/>
      <c r="D54" s="12"/>
      <c r="E54" s="12"/>
    </row>
    <row r="55" spans="1:5" x14ac:dyDescent="0.3">
      <c r="A55" s="13" t="s">
        <v>49</v>
      </c>
      <c r="B55" s="12"/>
      <c r="C55" s="12"/>
      <c r="D55" s="12"/>
      <c r="E55" s="12"/>
    </row>
    <row r="56" spans="1:5" x14ac:dyDescent="0.3">
      <c r="A56" s="13" t="s">
        <v>50</v>
      </c>
      <c r="B56" s="58">
        <f t="shared" ref="B56:B64" si="8">SUM(C56:E56)</f>
        <v>0</v>
      </c>
      <c r="C56" s="60">
        <f>'Pro Forma Adj'!C57</f>
        <v>0</v>
      </c>
      <c r="D56" s="60">
        <f>'Pro Forma Adj'!D57</f>
        <v>0</v>
      </c>
      <c r="E56" s="60">
        <f>'Pro Forma Adj'!E57</f>
        <v>0</v>
      </c>
    </row>
    <row r="57" spans="1:5" x14ac:dyDescent="0.3">
      <c r="A57" s="13" t="s">
        <v>51</v>
      </c>
      <c r="B57" s="58">
        <f t="shared" si="8"/>
        <v>0</v>
      </c>
      <c r="C57" s="60">
        <f>'Pro Forma Adj'!C58</f>
        <v>0</v>
      </c>
      <c r="D57" s="60">
        <f>'Pro Forma Adj'!D58</f>
        <v>0</v>
      </c>
      <c r="E57" s="60">
        <f>'Pro Forma Adj'!E58</f>
        <v>0</v>
      </c>
    </row>
    <row r="58" spans="1:5" x14ac:dyDescent="0.3">
      <c r="A58" s="13" t="s">
        <v>52</v>
      </c>
      <c r="B58" s="58">
        <f t="shared" si="8"/>
        <v>0</v>
      </c>
      <c r="C58" s="60">
        <f>'Pro Forma Adj'!C59</f>
        <v>0</v>
      </c>
      <c r="D58" s="60">
        <f>'Pro Forma Adj'!D59</f>
        <v>0</v>
      </c>
      <c r="E58" s="60">
        <f>'Pro Forma Adj'!E59</f>
        <v>0</v>
      </c>
    </row>
    <row r="59" spans="1:5" x14ac:dyDescent="0.3">
      <c r="A59" s="13" t="s">
        <v>53</v>
      </c>
      <c r="B59" s="58">
        <f t="shared" si="8"/>
        <v>0</v>
      </c>
      <c r="C59" s="60">
        <f>'Pro Forma Adj'!C60</f>
        <v>0</v>
      </c>
      <c r="D59" s="60">
        <f>'Pro Forma Adj'!D60</f>
        <v>0</v>
      </c>
      <c r="E59" s="60">
        <f>'Pro Forma Adj'!E60</f>
        <v>0</v>
      </c>
    </row>
    <row r="60" spans="1:5" x14ac:dyDescent="0.3">
      <c r="A60" s="13" t="s">
        <v>54</v>
      </c>
      <c r="B60" s="58">
        <f t="shared" si="8"/>
        <v>0</v>
      </c>
      <c r="C60" s="60">
        <f>'Pro Forma Adj'!C61</f>
        <v>0</v>
      </c>
      <c r="D60" s="60">
        <f>'Pro Forma Adj'!D61</f>
        <v>0</v>
      </c>
      <c r="E60" s="60">
        <f>'Pro Forma Adj'!E61</f>
        <v>0</v>
      </c>
    </row>
    <row r="61" spans="1:5" x14ac:dyDescent="0.3">
      <c r="A61" s="13" t="s">
        <v>55</v>
      </c>
      <c r="B61" s="58">
        <f t="shared" si="8"/>
        <v>0</v>
      </c>
      <c r="C61" s="60">
        <f>'Pro Forma Adj'!C62</f>
        <v>0</v>
      </c>
      <c r="D61" s="60">
        <f>'Pro Forma Adj'!D62</f>
        <v>0</v>
      </c>
      <c r="E61" s="60">
        <f>'Pro Forma Adj'!E62</f>
        <v>0</v>
      </c>
    </row>
    <row r="62" spans="1:5" x14ac:dyDescent="0.3">
      <c r="A62" s="13" t="s">
        <v>56</v>
      </c>
      <c r="B62" s="58">
        <f t="shared" si="8"/>
        <v>0</v>
      </c>
      <c r="C62" s="60">
        <f>'Pro Forma Adj'!C63</f>
        <v>0</v>
      </c>
      <c r="D62" s="60">
        <f>'Pro Forma Adj'!D63</f>
        <v>0</v>
      </c>
      <c r="E62" s="60">
        <f>'Pro Forma Adj'!E63</f>
        <v>0</v>
      </c>
    </row>
    <row r="63" spans="1:5" x14ac:dyDescent="0.3">
      <c r="A63" s="13"/>
      <c r="B63" s="12">
        <f t="shared" si="8"/>
        <v>0</v>
      </c>
      <c r="C63" s="12">
        <f>'Pro Forma Adj'!C64</f>
        <v>0</v>
      </c>
      <c r="D63" s="12">
        <f>'Pro Forma Adj'!D64</f>
        <v>0</v>
      </c>
      <c r="E63" s="12">
        <f>'Pro Forma Adj'!E64</f>
        <v>0</v>
      </c>
    </row>
    <row r="64" spans="1:5" x14ac:dyDescent="0.3">
      <c r="A64" s="13" t="s">
        <v>57</v>
      </c>
      <c r="B64" s="204">
        <f t="shared" si="8"/>
        <v>0</v>
      </c>
      <c r="C64" s="204">
        <f t="shared" ref="C64:E64" si="9">SUM(C56:C63)</f>
        <v>0</v>
      </c>
      <c r="D64" s="204">
        <f t="shared" si="9"/>
        <v>0</v>
      </c>
      <c r="E64" s="204">
        <f t="shared" si="9"/>
        <v>0</v>
      </c>
    </row>
    <row r="65" spans="1:5" x14ac:dyDescent="0.3">
      <c r="A65" s="13"/>
      <c r="B65" s="12"/>
      <c r="C65" s="12"/>
      <c r="D65" s="12"/>
      <c r="E65" s="12"/>
    </row>
    <row r="66" spans="1:5" ht="12.9" thickBot="1" x14ac:dyDescent="0.35">
      <c r="A66" s="13" t="s">
        <v>58</v>
      </c>
      <c r="B66" s="214">
        <f>SUM(C66:E66)</f>
        <v>0</v>
      </c>
      <c r="C66" s="214">
        <f t="shared" ref="C66:E66" si="10">C53+C64</f>
        <v>0</v>
      </c>
      <c r="D66" s="214">
        <f t="shared" si="10"/>
        <v>0</v>
      </c>
      <c r="E66" s="214">
        <f t="shared" si="10"/>
        <v>0</v>
      </c>
    </row>
    <row r="67" spans="1:5" ht="12.9" thickTop="1" x14ac:dyDescent="0.3">
      <c r="A67" s="13"/>
      <c r="B67" s="12"/>
      <c r="C67" s="12"/>
      <c r="D67" s="12"/>
      <c r="E67" s="12"/>
    </row>
    <row r="68" spans="1:5" x14ac:dyDescent="0.3">
      <c r="A68" s="13"/>
      <c r="B68" s="12"/>
      <c r="C68" s="12"/>
      <c r="D68" s="12"/>
      <c r="E68" s="12"/>
    </row>
    <row r="69" spans="1:5" s="137" customFormat="1" x14ac:dyDescent="0.3">
      <c r="A69" s="16" t="s">
        <v>91</v>
      </c>
      <c r="B69" s="16">
        <f t="shared" ref="B69:E69" si="11">(((B39+Unadj_Op_revenue)/(B66+Unadj_rate_base))-Weighted_cost_debt-Weighted_cost_pref)/Percent_common-Unadj_ROE</f>
        <v>2.6463891093827796E-3</v>
      </c>
      <c r="C69" s="16">
        <f t="shared" si="11"/>
        <v>3.9822535028553319E-3</v>
      </c>
      <c r="D69" s="16">
        <f t="shared" si="11"/>
        <v>-4.3767333510555395E-4</v>
      </c>
      <c r="E69" s="16">
        <f t="shared" si="11"/>
        <v>3.0910720960193594E-4</v>
      </c>
    </row>
    <row r="70" spans="1:5" x14ac:dyDescent="0.3">
      <c r="A70" s="13" t="s">
        <v>6</v>
      </c>
      <c r="B70" s="189">
        <f>SUM(C70:E70)</f>
        <v>-1462122.9930041882</v>
      </c>
      <c r="C70" s="189">
        <f t="shared" ref="C70:E70" si="12">-(C39-(C66*Overall_ROR))/gross_up_factor</f>
        <v>-2418288.7648376417</v>
      </c>
      <c r="D70" s="189">
        <f t="shared" si="12"/>
        <v>745342.79620757513</v>
      </c>
      <c r="E70" s="189">
        <f t="shared" si="12"/>
        <v>210822.97562587843</v>
      </c>
    </row>
    <row r="71" spans="1:5" x14ac:dyDescent="0.3">
      <c r="A71" s="13"/>
      <c r="B71" s="16"/>
      <c r="C71" s="16"/>
      <c r="D71" s="16"/>
      <c r="E71" s="16"/>
    </row>
    <row r="72" spans="1:5" x14ac:dyDescent="0.3">
      <c r="A72" s="13" t="s">
        <v>60</v>
      </c>
      <c r="B72" s="12"/>
      <c r="C72" s="12"/>
      <c r="D72" s="12"/>
      <c r="E72" s="12"/>
    </row>
    <row r="73" spans="1:5" x14ac:dyDescent="0.3">
      <c r="A73" s="13" t="s">
        <v>61</v>
      </c>
      <c r="B73" s="189">
        <f t="shared" ref="B73:B79" si="13">SUM(C73:E73)</f>
        <v>1391459.8843043149</v>
      </c>
      <c r="C73" s="189">
        <f t="shared" ref="C73:E73" si="14">C15-C28-C29-C30-C31-C36</f>
        <v>2301415.0116205518</v>
      </c>
      <c r="D73" s="189">
        <f t="shared" si="14"/>
        <v>-709321.03929718887</v>
      </c>
      <c r="E73" s="189">
        <f t="shared" si="14"/>
        <v>-200634.08801904801</v>
      </c>
    </row>
    <row r="74" spans="1:5" x14ac:dyDescent="0.3">
      <c r="A74" s="13" t="s">
        <v>62</v>
      </c>
      <c r="B74" s="189">
        <f t="shared" si="13"/>
        <v>0</v>
      </c>
      <c r="C74" s="12">
        <f>'Pro Forma Adj'!C75</f>
        <v>0</v>
      </c>
      <c r="D74" s="12">
        <f>'Pro Forma Adj'!D75</f>
        <v>0</v>
      </c>
      <c r="E74" s="12">
        <f>'Pro Forma Adj'!E75</f>
        <v>0</v>
      </c>
    </row>
    <row r="75" spans="1:5" x14ac:dyDescent="0.3">
      <c r="A75" s="13" t="s">
        <v>63</v>
      </c>
      <c r="B75" s="189">
        <f t="shared" si="13"/>
        <v>0</v>
      </c>
      <c r="C75" s="58">
        <f>'Pro Forma Adj'!C76</f>
        <v>0</v>
      </c>
      <c r="D75" s="58">
        <f>'Pro Forma Adj'!D76</f>
        <v>0</v>
      </c>
      <c r="E75" s="58">
        <f>'Pro Forma Adj'!E76</f>
        <v>0</v>
      </c>
    </row>
    <row r="76" spans="1:5" x14ac:dyDescent="0.3">
      <c r="A76" s="13" t="s">
        <v>64</v>
      </c>
      <c r="B76" s="189">
        <f t="shared" si="13"/>
        <v>0</v>
      </c>
      <c r="C76" s="58">
        <f>'Pro Forma Adj'!C77</f>
        <v>0</v>
      </c>
      <c r="D76" s="58">
        <f>'Pro Forma Adj'!D77</f>
        <v>0</v>
      </c>
      <c r="E76" s="58">
        <f>'Pro Forma Adj'!E77</f>
        <v>0</v>
      </c>
    </row>
    <row r="77" spans="1:5" x14ac:dyDescent="0.3">
      <c r="A77" s="13" t="s">
        <v>65</v>
      </c>
      <c r="B77" s="189">
        <f t="shared" si="13"/>
        <v>0</v>
      </c>
      <c r="C77" s="58">
        <f>'Pro Forma Adj'!C78</f>
        <v>0</v>
      </c>
      <c r="D77" s="58">
        <f>'Pro Forma Adj'!D78</f>
        <v>0</v>
      </c>
      <c r="E77" s="58">
        <f>'Pro Forma Adj'!E78</f>
        <v>0</v>
      </c>
    </row>
    <row r="78" spans="1:5" x14ac:dyDescent="0.3">
      <c r="A78" s="13" t="s">
        <v>66</v>
      </c>
      <c r="B78" s="233">
        <f t="shared" si="13"/>
        <v>0</v>
      </c>
      <c r="C78" s="64">
        <f>'Pro Forma Adj'!C79</f>
        <v>0</v>
      </c>
      <c r="D78" s="64">
        <f>'Pro Forma Adj'!D79</f>
        <v>0</v>
      </c>
      <c r="E78" s="64">
        <f>'Pro Forma Adj'!E79</f>
        <v>0</v>
      </c>
    </row>
    <row r="79" spans="1:5" x14ac:dyDescent="0.3">
      <c r="A79" s="13" t="s">
        <v>67</v>
      </c>
      <c r="B79" s="13">
        <f t="shared" si="13"/>
        <v>1391459.8843043149</v>
      </c>
      <c r="C79" s="13">
        <f t="shared" ref="C79:E79" si="15">C73-C75-C76+C77-C78</f>
        <v>2301415.0116205518</v>
      </c>
      <c r="D79" s="13">
        <f t="shared" si="15"/>
        <v>-709321.03929718887</v>
      </c>
      <c r="E79" s="13">
        <f t="shared" si="15"/>
        <v>-200634.08801904801</v>
      </c>
    </row>
    <row r="80" spans="1:5" x14ac:dyDescent="0.3">
      <c r="A80" s="13"/>
      <c r="B80" s="12"/>
      <c r="C80" s="12"/>
      <c r="D80" s="12"/>
      <c r="E80" s="12"/>
    </row>
    <row r="81" spans="1:5" x14ac:dyDescent="0.3">
      <c r="A81" s="13" t="s">
        <v>68</v>
      </c>
      <c r="B81" s="2">
        <f>SUM(C81:E81)</f>
        <v>0</v>
      </c>
      <c r="C81" s="12">
        <v>0</v>
      </c>
      <c r="D81" s="12">
        <v>0</v>
      </c>
      <c r="E81" s="12">
        <v>0</v>
      </c>
    </row>
    <row r="82" spans="1:5" ht="12.9" thickBot="1" x14ac:dyDescent="0.35">
      <c r="A82" s="13" t="s">
        <v>69</v>
      </c>
      <c r="B82" s="234">
        <f>SUM(C82:E82)</f>
        <v>1391459.8843043149</v>
      </c>
      <c r="C82" s="235">
        <f>C79-C81</f>
        <v>2301415.0116205518</v>
      </c>
      <c r="D82" s="235">
        <f t="shared" ref="D82:E82" si="16">D79-D81</f>
        <v>-709321.03929718887</v>
      </c>
      <c r="E82" s="235">
        <f t="shared" si="16"/>
        <v>-200634.08801904801</v>
      </c>
    </row>
    <row r="83" spans="1:5" x14ac:dyDescent="0.3">
      <c r="A83" s="13"/>
      <c r="C83" s="12"/>
      <c r="D83" s="12"/>
      <c r="E83" s="12"/>
    </row>
    <row r="84" spans="1:5" x14ac:dyDescent="0.3">
      <c r="A84" s="13" t="s">
        <v>79</v>
      </c>
      <c r="B84" s="2">
        <f>SUM(C84:E84)</f>
        <v>292206.57570390613</v>
      </c>
      <c r="C84" s="12">
        <f>C82*0.21</f>
        <v>483297.15244031587</v>
      </c>
      <c r="D84" s="12">
        <f t="shared" ref="D84:E84" si="17">D82*0.21</f>
        <v>-148957.41825240967</v>
      </c>
      <c r="E84" s="12">
        <f t="shared" si="17"/>
        <v>-42133.15848400008</v>
      </c>
    </row>
    <row r="85" spans="1:5" x14ac:dyDescent="0.3">
      <c r="A85" s="13" t="s">
        <v>126</v>
      </c>
      <c r="B85" s="2">
        <f>SUM(C85:E85)</f>
        <v>0</v>
      </c>
      <c r="C85" s="12"/>
      <c r="D85" s="12"/>
      <c r="E85" s="12"/>
    </row>
    <row r="86" spans="1:5" s="2" customFormat="1" ht="12.9" thickBot="1" x14ac:dyDescent="0.35">
      <c r="A86" s="13" t="s">
        <v>81</v>
      </c>
      <c r="B86" s="241">
        <f>SUM(C86:E86)</f>
        <v>292206.57570390613</v>
      </c>
      <c r="C86" s="242">
        <f>C84+C85</f>
        <v>483297.15244031587</v>
      </c>
      <c r="D86" s="242">
        <f t="shared" ref="D86:E86" si="18">D84+D85</f>
        <v>-148957.41825240967</v>
      </c>
      <c r="E86" s="242">
        <f t="shared" si="18"/>
        <v>-42133.15848400008</v>
      </c>
    </row>
    <row r="87" spans="1:5" s="2" customFormat="1" ht="12.9" thickTop="1" x14ac:dyDescent="0.3">
      <c r="A87" s="13"/>
      <c r="B87" s="13"/>
      <c r="C87" s="13"/>
      <c r="D87" s="13"/>
      <c r="E87" s="13"/>
    </row>
    <row r="88" spans="1:5" s="2" customFormat="1" x14ac:dyDescent="0.3">
      <c r="A88" s="13"/>
      <c r="B88" s="14"/>
      <c r="C88" s="14"/>
      <c r="D88" s="14"/>
      <c r="E88" s="14"/>
    </row>
    <row r="89" spans="1:5" s="2" customFormat="1" x14ac:dyDescent="0.3">
      <c r="A89" s="19"/>
      <c r="B89" s="12"/>
      <c r="C89" s="12"/>
      <c r="D89" s="12"/>
      <c r="E89" s="12"/>
    </row>
    <row r="90" spans="1:5" s="2" customFormat="1" x14ac:dyDescent="0.3">
      <c r="A90" s="13"/>
      <c r="B90" s="12"/>
      <c r="C90" s="12"/>
      <c r="D90" s="12"/>
      <c r="E90" s="12"/>
    </row>
    <row r="91" spans="1:5" s="2" customFormat="1" x14ac:dyDescent="0.3">
      <c r="A91" s="13"/>
      <c r="C91" s="134"/>
    </row>
    <row r="92" spans="1:5" s="2" customFormat="1" x14ac:dyDescent="0.3">
      <c r="A92" s="240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&amp;L&amp;12WAHSINGTON INTER-JURISDICTIONAL ALLOCATION METHDOLOGY
Revenues &amp; Expenses - Year 2 Adjustments (Tab 13)
PRO FORMA&amp;R&amp;12Page 13.0.&amp;P
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3671-DD0B-4769-A161-B87D628E9AFC}">
  <sheetPr>
    <pageSetUpPr fitToPage="1"/>
  </sheetPr>
  <dimension ref="A2:L92"/>
  <sheetViews>
    <sheetView showOutlineSymbols="0" workbookViewId="0"/>
  </sheetViews>
  <sheetFormatPr defaultColWidth="9.15234375" defaultRowHeight="12.45" x14ac:dyDescent="0.3"/>
  <cols>
    <col min="1" max="1" width="37.53515625" style="2" customWidth="1"/>
    <col min="2" max="12" width="17.23046875" style="2" bestFit="1" customWidth="1"/>
    <col min="13" max="16384" width="9.15234375" style="2"/>
  </cols>
  <sheetData>
    <row r="2" spans="1:12" x14ac:dyDescent="0.3">
      <c r="A2" s="237"/>
    </row>
    <row r="3" spans="1:12" x14ac:dyDescent="0.3">
      <c r="A3" s="237"/>
    </row>
    <row r="4" spans="1:12" x14ac:dyDescent="0.3">
      <c r="A4" s="238"/>
    </row>
    <row r="5" spans="1:12" x14ac:dyDescent="0.3">
      <c r="A5" s="238"/>
    </row>
    <row r="6" spans="1:12" x14ac:dyDescent="0.3">
      <c r="A6" s="23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B7" s="54"/>
      <c r="C7" s="54" t="str">
        <f>'Pro Forma Adj'!F8</f>
        <v>14.1</v>
      </c>
      <c r="D7" s="54" t="str">
        <f>'Pro Forma Adj'!G8</f>
        <v>14.2</v>
      </c>
      <c r="E7" s="54" t="str">
        <f>'Pro Forma Adj'!H8</f>
        <v>14.3</v>
      </c>
      <c r="F7" s="54" t="str">
        <f>'Pro Forma Adj'!I8</f>
        <v>14.4</v>
      </c>
      <c r="G7" s="54" t="str">
        <f>'Pro Forma Adj'!J8</f>
        <v>14.5</v>
      </c>
      <c r="H7" s="54" t="str">
        <f>'Pro Forma Adj'!K8</f>
        <v>14.6</v>
      </c>
      <c r="I7" s="54" t="str">
        <f>'Pro Forma Adj'!L8</f>
        <v>14.7</v>
      </c>
      <c r="J7" s="54" t="str">
        <f>'Pro Forma Adj'!M8</f>
        <v>14.8</v>
      </c>
      <c r="K7" s="54" t="str">
        <f>'Pro Forma Adj'!N8</f>
        <v>14.9</v>
      </c>
      <c r="L7" s="54" t="str">
        <f>'Pro Forma Adj'!O8</f>
        <v>14.10</v>
      </c>
    </row>
    <row r="8" spans="1:12" s="13" customFormat="1" ht="81" customHeight="1" x14ac:dyDescent="0.3">
      <c r="B8" s="230" t="s">
        <v>226</v>
      </c>
      <c r="C8" s="230" t="str">
        <f>'Pro Forma Adj'!F9</f>
        <v>Pro Forma Major Plant Additions - Year 2</v>
      </c>
      <c r="D8" s="230" t="str">
        <f>'Pro Forma Adj'!G9</f>
        <v>Pro Forma Depreciation &amp; Amortization Expense - 
Year 2</v>
      </c>
      <c r="E8" s="230" t="str">
        <f>'Pro Forma Adj'!H9</f>
        <v>Pro Forma Depreciation &amp; Amortization Reserve - 
Year 2</v>
      </c>
      <c r="F8" s="230" t="str">
        <f>'Pro Forma Adj'!I9</f>
        <v>Decommissioning and Other Plant Closure Costs - 
Year 2</v>
      </c>
      <c r="G8" s="230" t="str">
        <f>'Pro Forma Adj'!J9</f>
        <v>Jim Bridger Mine Rate Base - 
Year 2</v>
      </c>
      <c r="H8" s="230" t="str">
        <f>'Pro Forma Adj'!K9</f>
        <v>Existing Coal-Fired Generation Assets - 
Year 2</v>
      </c>
      <c r="I8" s="230" t="str">
        <f>'Pro Forma Adj'!L9</f>
        <v>Pro Forma JB Units 3, 4 and Colstrip 4 Additions - 
Year 2</v>
      </c>
      <c r="J8" s="230" t="str">
        <f>'Pro Forma Adj'!M9</f>
        <v>Pro Forma JB Units 1 &amp; 2 Additions - Year 2</v>
      </c>
      <c r="K8" s="230" t="str">
        <f>'Pro Forma Adj'!N9</f>
        <v>Confidential Wind Generation Captial Additions - 
Year 2</v>
      </c>
      <c r="L8" s="230" t="str">
        <f>'Pro Forma Adj'!O9</f>
        <v>Major Transmission Capital Additions - 
Year 2</v>
      </c>
    </row>
    <row r="10" spans="1:12" x14ac:dyDescent="0.3">
      <c r="A10" s="1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3">
      <c r="A11" s="13" t="s">
        <v>9</v>
      </c>
      <c r="B11" s="60">
        <f>SUM(C11:L11)</f>
        <v>0</v>
      </c>
      <c r="C11" s="60">
        <f>'Pro Forma Adj'!F12</f>
        <v>0</v>
      </c>
      <c r="D11" s="60">
        <f>'Pro Forma Adj'!G12</f>
        <v>0</v>
      </c>
      <c r="E11" s="60">
        <f>'Pro Forma Adj'!H12</f>
        <v>0</v>
      </c>
      <c r="F11" s="60">
        <f>'Pro Forma Adj'!I12</f>
        <v>0</v>
      </c>
      <c r="G11" s="60">
        <f>'Pro Forma Adj'!J12</f>
        <v>0</v>
      </c>
      <c r="H11" s="60">
        <f>'Pro Forma Adj'!K12</f>
        <v>0</v>
      </c>
      <c r="I11" s="60">
        <f>'Pro Forma Adj'!L12</f>
        <v>0</v>
      </c>
      <c r="J11" s="60">
        <f>'Pro Forma Adj'!M12</f>
        <v>0</v>
      </c>
      <c r="K11" s="60">
        <f>'Pro Forma Adj'!N12</f>
        <v>0</v>
      </c>
      <c r="L11" s="60">
        <f>'Pro Forma Adj'!O12</f>
        <v>0</v>
      </c>
    </row>
    <row r="12" spans="1:12" x14ac:dyDescent="0.3">
      <c r="A12" s="13" t="s">
        <v>10</v>
      </c>
      <c r="B12" s="60">
        <f>SUM(C12:L12)</f>
        <v>0</v>
      </c>
      <c r="C12" s="60">
        <f>'Pro Forma Adj'!F13</f>
        <v>0</v>
      </c>
      <c r="D12" s="60">
        <f>'Pro Forma Adj'!G13</f>
        <v>0</v>
      </c>
      <c r="E12" s="60">
        <f>'Pro Forma Adj'!H13</f>
        <v>0</v>
      </c>
      <c r="F12" s="60">
        <f>'Pro Forma Adj'!I13</f>
        <v>0</v>
      </c>
      <c r="G12" s="60">
        <f>'Pro Forma Adj'!J13</f>
        <v>0</v>
      </c>
      <c r="H12" s="60">
        <f>'Pro Forma Adj'!K13</f>
        <v>0</v>
      </c>
      <c r="I12" s="60">
        <f>'Pro Forma Adj'!L13</f>
        <v>0</v>
      </c>
      <c r="J12" s="60">
        <f>'Pro Forma Adj'!M13</f>
        <v>0</v>
      </c>
      <c r="K12" s="60">
        <f>'Pro Forma Adj'!N13</f>
        <v>0</v>
      </c>
      <c r="L12" s="60">
        <f>'Pro Forma Adj'!O13</f>
        <v>0</v>
      </c>
    </row>
    <row r="13" spans="1:12" x14ac:dyDescent="0.3">
      <c r="A13" s="13" t="s">
        <v>11</v>
      </c>
      <c r="B13" s="60">
        <f>SUM(C13:L13)</f>
        <v>0</v>
      </c>
      <c r="C13" s="60">
        <f>'Pro Forma Adj'!F14</f>
        <v>0</v>
      </c>
      <c r="D13" s="60">
        <f>'Pro Forma Adj'!G14</f>
        <v>0</v>
      </c>
      <c r="E13" s="60">
        <f>'Pro Forma Adj'!H14</f>
        <v>0</v>
      </c>
      <c r="F13" s="60">
        <f>'Pro Forma Adj'!I14</f>
        <v>0</v>
      </c>
      <c r="G13" s="60">
        <f>'Pro Forma Adj'!J14</f>
        <v>0</v>
      </c>
      <c r="H13" s="60">
        <f>'Pro Forma Adj'!K14</f>
        <v>0</v>
      </c>
      <c r="I13" s="60">
        <f>'Pro Forma Adj'!L14</f>
        <v>0</v>
      </c>
      <c r="J13" s="60">
        <f>'Pro Forma Adj'!M14</f>
        <v>0</v>
      </c>
      <c r="K13" s="60">
        <f>'Pro Forma Adj'!N14</f>
        <v>0</v>
      </c>
      <c r="L13" s="60">
        <f>'Pro Forma Adj'!O14</f>
        <v>0</v>
      </c>
    </row>
    <row r="14" spans="1:12" x14ac:dyDescent="0.3">
      <c r="A14" s="13" t="s">
        <v>12</v>
      </c>
      <c r="B14" s="60">
        <f>SUM(C14:L14)</f>
        <v>0</v>
      </c>
      <c r="C14" s="60">
        <f>'Pro Forma Adj'!F15</f>
        <v>0</v>
      </c>
      <c r="D14" s="60">
        <f>'Pro Forma Adj'!G15</f>
        <v>0</v>
      </c>
      <c r="E14" s="60">
        <f>'Pro Forma Adj'!H15</f>
        <v>0</v>
      </c>
      <c r="F14" s="60">
        <f>'Pro Forma Adj'!I15</f>
        <v>0</v>
      </c>
      <c r="G14" s="60">
        <f>'Pro Forma Adj'!J15</f>
        <v>0</v>
      </c>
      <c r="H14" s="60">
        <f>'Pro Forma Adj'!K15</f>
        <v>0</v>
      </c>
      <c r="I14" s="60">
        <f>'Pro Forma Adj'!L15</f>
        <v>0</v>
      </c>
      <c r="J14" s="60">
        <f>'Pro Forma Adj'!M15</f>
        <v>0</v>
      </c>
      <c r="K14" s="60">
        <f>'Pro Forma Adj'!N15</f>
        <v>0</v>
      </c>
      <c r="L14" s="60">
        <f>'Pro Forma Adj'!O15</f>
        <v>0</v>
      </c>
    </row>
    <row r="15" spans="1:12" x14ac:dyDescent="0.3">
      <c r="A15" s="13" t="s">
        <v>13</v>
      </c>
      <c r="B15" s="204">
        <f>SUM(C15:L15)</f>
        <v>0</v>
      </c>
      <c r="C15" s="204">
        <f t="shared" ref="C15:E15" si="0">SUM(C11:C14)</f>
        <v>0</v>
      </c>
      <c r="D15" s="204">
        <f t="shared" si="0"/>
        <v>0</v>
      </c>
      <c r="E15" s="204">
        <f t="shared" si="0"/>
        <v>0</v>
      </c>
      <c r="F15" s="204">
        <f>SUM(F11:F14)</f>
        <v>0</v>
      </c>
      <c r="G15" s="204">
        <f>SUM(G11:G14)</f>
        <v>0</v>
      </c>
      <c r="H15" s="204">
        <f t="shared" ref="H15:I15" si="1">SUM(H11:H14)</f>
        <v>0</v>
      </c>
      <c r="I15" s="204">
        <f t="shared" si="1"/>
        <v>0</v>
      </c>
      <c r="J15" s="204">
        <f t="shared" ref="J15:K15" si="2">SUM(J11:J14)</f>
        <v>0</v>
      </c>
      <c r="K15" s="204">
        <f t="shared" si="2"/>
        <v>0</v>
      </c>
      <c r="L15" s="204">
        <f t="shared" ref="L15" si="3">SUM(L11:L14)</f>
        <v>0</v>
      </c>
    </row>
    <row r="16" spans="1:12" x14ac:dyDescent="0.3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3">
      <c r="A17" s="13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3">
      <c r="A18" s="13" t="s">
        <v>15</v>
      </c>
      <c r="B18" s="60">
        <f t="shared" ref="B18:B39" si="4">SUM(C18:L18)</f>
        <v>0</v>
      </c>
      <c r="C18" s="60">
        <f>'Pro Forma Adj'!F19</f>
        <v>0</v>
      </c>
      <c r="D18" s="60">
        <f>'Pro Forma Adj'!G19</f>
        <v>0</v>
      </c>
      <c r="E18" s="60">
        <f>'Pro Forma Adj'!H19</f>
        <v>0</v>
      </c>
      <c r="F18" s="60">
        <f>'Pro Forma Adj'!I19</f>
        <v>0</v>
      </c>
      <c r="G18" s="60">
        <f>'Pro Forma Adj'!J19</f>
        <v>0</v>
      </c>
      <c r="H18" s="60">
        <f>'Pro Forma Adj'!K19</f>
        <v>0</v>
      </c>
      <c r="I18" s="60">
        <f>'Pro Forma Adj'!L19</f>
        <v>0</v>
      </c>
      <c r="J18" s="60">
        <f>'Pro Forma Adj'!M19</f>
        <v>0</v>
      </c>
      <c r="K18" s="60">
        <f>'Pro Forma Adj'!N19</f>
        <v>0</v>
      </c>
      <c r="L18" s="60">
        <f>'Pro Forma Adj'!O19</f>
        <v>0</v>
      </c>
    </row>
    <row r="19" spans="1:12" x14ac:dyDescent="0.3">
      <c r="A19" s="13" t="s">
        <v>16</v>
      </c>
      <c r="B19" s="60">
        <f t="shared" si="4"/>
        <v>0</v>
      </c>
      <c r="C19" s="60">
        <f>'Pro Forma Adj'!F20</f>
        <v>0</v>
      </c>
      <c r="D19" s="60">
        <f>'Pro Forma Adj'!G20</f>
        <v>0</v>
      </c>
      <c r="E19" s="60">
        <f>'Pro Forma Adj'!H20</f>
        <v>0</v>
      </c>
      <c r="F19" s="60">
        <f>'Pro Forma Adj'!I20</f>
        <v>0</v>
      </c>
      <c r="G19" s="60">
        <f>'Pro Forma Adj'!J20</f>
        <v>0</v>
      </c>
      <c r="H19" s="60">
        <f>'Pro Forma Adj'!K20</f>
        <v>0</v>
      </c>
      <c r="I19" s="60">
        <f>'Pro Forma Adj'!L20</f>
        <v>0</v>
      </c>
      <c r="J19" s="60">
        <f>'Pro Forma Adj'!M20</f>
        <v>0</v>
      </c>
      <c r="K19" s="60">
        <f>'Pro Forma Adj'!N20</f>
        <v>0</v>
      </c>
      <c r="L19" s="60">
        <f>'Pro Forma Adj'!O20</f>
        <v>0</v>
      </c>
    </row>
    <row r="20" spans="1:12" x14ac:dyDescent="0.3">
      <c r="A20" s="13" t="s">
        <v>17</v>
      </c>
      <c r="B20" s="60">
        <f t="shared" si="4"/>
        <v>0</v>
      </c>
      <c r="C20" s="60">
        <f>'Pro Forma Adj'!F21</f>
        <v>0</v>
      </c>
      <c r="D20" s="60">
        <f>'Pro Forma Adj'!G21</f>
        <v>0</v>
      </c>
      <c r="E20" s="60">
        <f>'Pro Forma Adj'!H21</f>
        <v>0</v>
      </c>
      <c r="F20" s="60">
        <f>'Pro Forma Adj'!I21</f>
        <v>0</v>
      </c>
      <c r="G20" s="60">
        <f>'Pro Forma Adj'!J21</f>
        <v>0</v>
      </c>
      <c r="H20" s="60">
        <f>'Pro Forma Adj'!K21</f>
        <v>0</v>
      </c>
      <c r="I20" s="60">
        <f>'Pro Forma Adj'!L21</f>
        <v>0</v>
      </c>
      <c r="J20" s="60">
        <f>'Pro Forma Adj'!M21</f>
        <v>0</v>
      </c>
      <c r="K20" s="60">
        <f>'Pro Forma Adj'!N21</f>
        <v>0</v>
      </c>
      <c r="L20" s="60">
        <f>'Pro Forma Adj'!O21</f>
        <v>0</v>
      </c>
    </row>
    <row r="21" spans="1:12" x14ac:dyDescent="0.3">
      <c r="A21" s="13" t="s">
        <v>18</v>
      </c>
      <c r="B21" s="60">
        <f t="shared" si="4"/>
        <v>395579.72739742004</v>
      </c>
      <c r="C21" s="60">
        <f>'Pro Forma Adj'!F22</f>
        <v>0</v>
      </c>
      <c r="D21" s="60">
        <f>'Pro Forma Adj'!G22</f>
        <v>0</v>
      </c>
      <c r="E21" s="60">
        <f>'Pro Forma Adj'!H22</f>
        <v>0</v>
      </c>
      <c r="F21" s="60">
        <f>'Pro Forma Adj'!I22</f>
        <v>0</v>
      </c>
      <c r="G21" s="60">
        <f>'Pro Forma Adj'!J22</f>
        <v>0</v>
      </c>
      <c r="H21" s="60">
        <f>'Pro Forma Adj'!K22</f>
        <v>0</v>
      </c>
      <c r="I21" s="60">
        <f>'Pro Forma Adj'!L22</f>
        <v>0</v>
      </c>
      <c r="J21" s="60">
        <f>'Pro Forma Adj'!M22</f>
        <v>0</v>
      </c>
      <c r="K21" s="60">
        <f>'Pro Forma Adj'!N22</f>
        <v>395579.72739742004</v>
      </c>
      <c r="L21" s="60">
        <f>'Pro Forma Adj'!O22</f>
        <v>0</v>
      </c>
    </row>
    <row r="22" spans="1:12" x14ac:dyDescent="0.3">
      <c r="A22" s="13" t="s">
        <v>19</v>
      </c>
      <c r="B22" s="60">
        <f t="shared" si="4"/>
        <v>0</v>
      </c>
      <c r="C22" s="60">
        <f>'Pro Forma Adj'!F23</f>
        <v>0</v>
      </c>
      <c r="D22" s="60">
        <f>'Pro Forma Adj'!G23</f>
        <v>0</v>
      </c>
      <c r="E22" s="60">
        <f>'Pro Forma Adj'!H23</f>
        <v>0</v>
      </c>
      <c r="F22" s="60">
        <f>'Pro Forma Adj'!I23</f>
        <v>0</v>
      </c>
      <c r="G22" s="60">
        <f>'Pro Forma Adj'!J23</f>
        <v>0</v>
      </c>
      <c r="H22" s="60">
        <f>'Pro Forma Adj'!K23</f>
        <v>0</v>
      </c>
      <c r="I22" s="60">
        <f>'Pro Forma Adj'!L23</f>
        <v>0</v>
      </c>
      <c r="J22" s="60">
        <f>'Pro Forma Adj'!M23</f>
        <v>0</v>
      </c>
      <c r="K22" s="60">
        <f>'Pro Forma Adj'!N23</f>
        <v>0</v>
      </c>
      <c r="L22" s="60">
        <f>'Pro Forma Adj'!O23</f>
        <v>0</v>
      </c>
    </row>
    <row r="23" spans="1:12" x14ac:dyDescent="0.3">
      <c r="A23" s="13" t="s">
        <v>20</v>
      </c>
      <c r="B23" s="60">
        <f t="shared" si="4"/>
        <v>0</v>
      </c>
      <c r="C23" s="60">
        <f>'Pro Forma Adj'!F24</f>
        <v>0</v>
      </c>
      <c r="D23" s="60">
        <f>'Pro Forma Adj'!G24</f>
        <v>0</v>
      </c>
      <c r="E23" s="60">
        <f>'Pro Forma Adj'!H24</f>
        <v>0</v>
      </c>
      <c r="F23" s="60">
        <f>'Pro Forma Adj'!I24</f>
        <v>0</v>
      </c>
      <c r="G23" s="60">
        <f>'Pro Forma Adj'!J24</f>
        <v>0</v>
      </c>
      <c r="H23" s="60">
        <f>'Pro Forma Adj'!K24</f>
        <v>0</v>
      </c>
      <c r="I23" s="60">
        <f>'Pro Forma Adj'!L24</f>
        <v>0</v>
      </c>
      <c r="J23" s="60">
        <f>'Pro Forma Adj'!M24</f>
        <v>0</v>
      </c>
      <c r="K23" s="60">
        <f>'Pro Forma Adj'!N24</f>
        <v>0</v>
      </c>
      <c r="L23" s="60">
        <f>'Pro Forma Adj'!O24</f>
        <v>0</v>
      </c>
    </row>
    <row r="24" spans="1:12" x14ac:dyDescent="0.3">
      <c r="A24" s="13" t="s">
        <v>21</v>
      </c>
      <c r="B24" s="60">
        <f t="shared" si="4"/>
        <v>0</v>
      </c>
      <c r="C24" s="60">
        <f>'Pro Forma Adj'!F25</f>
        <v>0</v>
      </c>
      <c r="D24" s="60">
        <f>'Pro Forma Adj'!G25</f>
        <v>0</v>
      </c>
      <c r="E24" s="60">
        <f>'Pro Forma Adj'!H25</f>
        <v>0</v>
      </c>
      <c r="F24" s="60">
        <f>'Pro Forma Adj'!I25</f>
        <v>0</v>
      </c>
      <c r="G24" s="60">
        <f>'Pro Forma Adj'!J25</f>
        <v>0</v>
      </c>
      <c r="H24" s="60">
        <f>'Pro Forma Adj'!K25</f>
        <v>0</v>
      </c>
      <c r="I24" s="60">
        <f>'Pro Forma Adj'!L25</f>
        <v>0</v>
      </c>
      <c r="J24" s="60">
        <f>'Pro Forma Adj'!M25</f>
        <v>0</v>
      </c>
      <c r="K24" s="60">
        <f>'Pro Forma Adj'!N25</f>
        <v>0</v>
      </c>
      <c r="L24" s="60">
        <f>'Pro Forma Adj'!O25</f>
        <v>0</v>
      </c>
    </row>
    <row r="25" spans="1:12" x14ac:dyDescent="0.3">
      <c r="A25" s="13" t="s">
        <v>22</v>
      </c>
      <c r="B25" s="60">
        <f t="shared" si="4"/>
        <v>0</v>
      </c>
      <c r="C25" s="60">
        <f>'Pro Forma Adj'!F26</f>
        <v>0</v>
      </c>
      <c r="D25" s="60">
        <f>'Pro Forma Adj'!G26</f>
        <v>0</v>
      </c>
      <c r="E25" s="60">
        <f>'Pro Forma Adj'!H26</f>
        <v>0</v>
      </c>
      <c r="F25" s="60">
        <f>'Pro Forma Adj'!I26</f>
        <v>0</v>
      </c>
      <c r="G25" s="60">
        <f>'Pro Forma Adj'!J26</f>
        <v>0</v>
      </c>
      <c r="H25" s="60">
        <f>'Pro Forma Adj'!K26</f>
        <v>0</v>
      </c>
      <c r="I25" s="60">
        <f>'Pro Forma Adj'!L26</f>
        <v>0</v>
      </c>
      <c r="J25" s="60">
        <f>'Pro Forma Adj'!M26</f>
        <v>0</v>
      </c>
      <c r="K25" s="60">
        <f>'Pro Forma Adj'!N26</f>
        <v>0</v>
      </c>
      <c r="L25" s="60">
        <f>'Pro Forma Adj'!O26</f>
        <v>0</v>
      </c>
    </row>
    <row r="26" spans="1:12" x14ac:dyDescent="0.3">
      <c r="A26" s="13" t="s">
        <v>23</v>
      </c>
      <c r="B26" s="60">
        <f t="shared" si="4"/>
        <v>0</v>
      </c>
      <c r="C26" s="60">
        <f>'Pro Forma Adj'!F27</f>
        <v>0</v>
      </c>
      <c r="D26" s="60">
        <f>'Pro Forma Adj'!G27</f>
        <v>0</v>
      </c>
      <c r="E26" s="60">
        <f>'Pro Forma Adj'!H27</f>
        <v>0</v>
      </c>
      <c r="F26" s="60">
        <f>'Pro Forma Adj'!I27</f>
        <v>0</v>
      </c>
      <c r="G26" s="60">
        <f>'Pro Forma Adj'!J27</f>
        <v>0</v>
      </c>
      <c r="H26" s="60">
        <f>'Pro Forma Adj'!K27</f>
        <v>0</v>
      </c>
      <c r="I26" s="60">
        <f>'Pro Forma Adj'!L27</f>
        <v>0</v>
      </c>
      <c r="J26" s="60">
        <f>'Pro Forma Adj'!M27</f>
        <v>0</v>
      </c>
      <c r="K26" s="60">
        <f>'Pro Forma Adj'!N27</f>
        <v>0</v>
      </c>
      <c r="L26" s="60">
        <f>'Pro Forma Adj'!O27</f>
        <v>0</v>
      </c>
    </row>
    <row r="27" spans="1:12" x14ac:dyDescent="0.3">
      <c r="A27" s="13" t="s">
        <v>24</v>
      </c>
      <c r="B27" s="63">
        <f t="shared" si="4"/>
        <v>0</v>
      </c>
      <c r="C27" s="63">
        <f>'Pro Forma Adj'!F28</f>
        <v>0</v>
      </c>
      <c r="D27" s="63">
        <f>'Pro Forma Adj'!G28</f>
        <v>0</v>
      </c>
      <c r="E27" s="63">
        <f>'Pro Forma Adj'!H28</f>
        <v>0</v>
      </c>
      <c r="F27" s="63">
        <f>'Pro Forma Adj'!I28</f>
        <v>0</v>
      </c>
      <c r="G27" s="63">
        <f>'Pro Forma Adj'!J28</f>
        <v>0</v>
      </c>
      <c r="H27" s="63">
        <f>'Pro Forma Adj'!K28</f>
        <v>0</v>
      </c>
      <c r="I27" s="63">
        <f>'Pro Forma Adj'!L28</f>
        <v>0</v>
      </c>
      <c r="J27" s="63">
        <f>'Pro Forma Adj'!M28</f>
        <v>0</v>
      </c>
      <c r="K27" s="63">
        <f>'Pro Forma Adj'!N28</f>
        <v>0</v>
      </c>
      <c r="L27" s="63">
        <f>'Pro Forma Adj'!O28</f>
        <v>0</v>
      </c>
    </row>
    <row r="28" spans="1:12" x14ac:dyDescent="0.3">
      <c r="A28" s="13" t="s">
        <v>25</v>
      </c>
      <c r="B28" s="12">
        <f t="shared" si="4"/>
        <v>395579.72739742004</v>
      </c>
      <c r="C28" s="12">
        <f t="shared" ref="C28" si="5">SUM(C18:C27)</f>
        <v>0</v>
      </c>
      <c r="D28" s="12">
        <f t="shared" ref="D28:E28" si="6">SUM(D18:D27)</f>
        <v>0</v>
      </c>
      <c r="E28" s="12">
        <f t="shared" si="6"/>
        <v>0</v>
      </c>
      <c r="F28" s="12">
        <f>SUM(F18:F27)</f>
        <v>0</v>
      </c>
      <c r="G28" s="12">
        <f>SUM(G18:G27)</f>
        <v>0</v>
      </c>
      <c r="H28" s="12">
        <f t="shared" ref="H28:I28" si="7">SUM(H18:H27)</f>
        <v>0</v>
      </c>
      <c r="I28" s="12">
        <f t="shared" si="7"/>
        <v>0</v>
      </c>
      <c r="J28" s="12">
        <f t="shared" ref="J28:K28" si="8">SUM(J18:J27)</f>
        <v>0</v>
      </c>
      <c r="K28" s="12">
        <f t="shared" si="8"/>
        <v>395579.72739742004</v>
      </c>
      <c r="L28" s="12">
        <f t="shared" ref="L28" si="9">SUM(L18:L27)</f>
        <v>0</v>
      </c>
    </row>
    <row r="29" spans="1:12" x14ac:dyDescent="0.3">
      <c r="A29" s="13" t="s">
        <v>26</v>
      </c>
      <c r="B29" s="60">
        <f t="shared" si="4"/>
        <v>7746703.228831457</v>
      </c>
      <c r="C29" s="60">
        <f>'Pro Forma Adj'!F30</f>
        <v>0</v>
      </c>
      <c r="D29" s="60">
        <f>'Pro Forma Adj'!G30</f>
        <v>2553798.7811355367</v>
      </c>
      <c r="E29" s="60">
        <f>'Pro Forma Adj'!H30</f>
        <v>0</v>
      </c>
      <c r="F29" s="60">
        <f>'Pro Forma Adj'!I30</f>
        <v>0</v>
      </c>
      <c r="G29" s="60">
        <f>'Pro Forma Adj'!J30</f>
        <v>0</v>
      </c>
      <c r="H29" s="60">
        <f>'Pro Forma Adj'!K30</f>
        <v>0</v>
      </c>
      <c r="I29" s="60">
        <f>'Pro Forma Adj'!L30</f>
        <v>1353</v>
      </c>
      <c r="J29" s="60">
        <f>'Pro Forma Adj'!M30</f>
        <v>6743.4738632640911</v>
      </c>
      <c r="K29" s="60">
        <f>'Pro Forma Adj'!N30</f>
        <v>2384687.5259876549</v>
      </c>
      <c r="L29" s="60">
        <f>'Pro Forma Adj'!O30</f>
        <v>2800120.4478450012</v>
      </c>
    </row>
    <row r="30" spans="1:12" x14ac:dyDescent="0.3">
      <c r="A30" s="13" t="s">
        <v>27</v>
      </c>
      <c r="B30" s="60">
        <f t="shared" si="4"/>
        <v>1230830.8889248422</v>
      </c>
      <c r="C30" s="60">
        <f>'Pro Forma Adj'!F31</f>
        <v>0</v>
      </c>
      <c r="D30" s="60">
        <f>'Pro Forma Adj'!G31</f>
        <v>1230830.8889248422</v>
      </c>
      <c r="E30" s="60">
        <f>'Pro Forma Adj'!H31</f>
        <v>0</v>
      </c>
      <c r="F30" s="60">
        <f>'Pro Forma Adj'!I31</f>
        <v>0</v>
      </c>
      <c r="G30" s="60">
        <f>'Pro Forma Adj'!J31</f>
        <v>0</v>
      </c>
      <c r="H30" s="60">
        <f>'Pro Forma Adj'!K31</f>
        <v>0</v>
      </c>
      <c r="I30" s="60">
        <f>'Pro Forma Adj'!L31</f>
        <v>0</v>
      </c>
      <c r="J30" s="60">
        <f>'Pro Forma Adj'!M31</f>
        <v>0</v>
      </c>
      <c r="K30" s="60">
        <f>'Pro Forma Adj'!N31</f>
        <v>0</v>
      </c>
      <c r="L30" s="60">
        <f>'Pro Forma Adj'!O31</f>
        <v>0</v>
      </c>
    </row>
    <row r="31" spans="1:12" x14ac:dyDescent="0.3">
      <c r="A31" s="13" t="s">
        <v>28</v>
      </c>
      <c r="B31" s="60">
        <f t="shared" si="4"/>
        <v>0</v>
      </c>
      <c r="C31" s="60">
        <f>'Pro Forma Adj'!F32</f>
        <v>0</v>
      </c>
      <c r="D31" s="60">
        <f>'Pro Forma Adj'!G32</f>
        <v>0</v>
      </c>
      <c r="E31" s="60">
        <f>'Pro Forma Adj'!H32</f>
        <v>0</v>
      </c>
      <c r="F31" s="60">
        <f>'Pro Forma Adj'!I32</f>
        <v>0</v>
      </c>
      <c r="G31" s="60">
        <f>'Pro Forma Adj'!J32</f>
        <v>0</v>
      </c>
      <c r="H31" s="60">
        <f>'Pro Forma Adj'!K32</f>
        <v>0</v>
      </c>
      <c r="I31" s="60">
        <f>'Pro Forma Adj'!L32</f>
        <v>0</v>
      </c>
      <c r="J31" s="60">
        <f>'Pro Forma Adj'!M32</f>
        <v>0</v>
      </c>
      <c r="K31" s="60">
        <f>'Pro Forma Adj'!N32</f>
        <v>0</v>
      </c>
      <c r="L31" s="60">
        <f>'Pro Forma Adj'!O32</f>
        <v>0</v>
      </c>
    </row>
    <row r="32" spans="1:12" x14ac:dyDescent="0.3">
      <c r="A32" s="13" t="s">
        <v>29</v>
      </c>
      <c r="B32" s="60">
        <f t="shared" si="4"/>
        <v>-2707897.7579236692</v>
      </c>
      <c r="C32" s="60">
        <f t="shared" ref="C32:L32" si="10">C86</f>
        <v>-724257.10919062386</v>
      </c>
      <c r="D32" s="60">
        <f t="shared" si="10"/>
        <v>-794772.23071267956</v>
      </c>
      <c r="E32" s="60">
        <f t="shared" si="10"/>
        <v>0</v>
      </c>
      <c r="F32" s="60">
        <f t="shared" si="10"/>
        <v>0</v>
      </c>
      <c r="G32" s="60">
        <f t="shared" si="10"/>
        <v>0</v>
      </c>
      <c r="H32" s="60">
        <f t="shared" si="10"/>
        <v>0</v>
      </c>
      <c r="I32" s="60">
        <f t="shared" si="10"/>
        <v>-291.47999999999996</v>
      </c>
      <c r="J32" s="60">
        <f t="shared" si="10"/>
        <v>-16695.520762050048</v>
      </c>
      <c r="K32" s="60">
        <f t="shared" si="10"/>
        <v>-583856.12321086565</v>
      </c>
      <c r="L32" s="60">
        <f t="shared" si="10"/>
        <v>-588025.29404745018</v>
      </c>
    </row>
    <row r="33" spans="1:12" x14ac:dyDescent="0.3">
      <c r="A33" s="13" t="s">
        <v>30</v>
      </c>
      <c r="B33" s="58">
        <f t="shared" si="4"/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</row>
    <row r="34" spans="1:12" x14ac:dyDescent="0.3">
      <c r="A34" s="13" t="s">
        <v>31</v>
      </c>
      <c r="B34" s="60">
        <f t="shared" si="4"/>
        <v>865851.51731343858</v>
      </c>
      <c r="C34" s="60">
        <f>'Pro Forma Adj'!F35</f>
        <v>847953.51731343858</v>
      </c>
      <c r="D34" s="60">
        <f>'Pro Forma Adj'!G35</f>
        <v>0</v>
      </c>
      <c r="E34" s="60">
        <f>'Pro Forma Adj'!H35</f>
        <v>0</v>
      </c>
      <c r="F34" s="60">
        <f>'Pro Forma Adj'!I35</f>
        <v>0</v>
      </c>
      <c r="G34" s="60">
        <f>'Pro Forma Adj'!J35</f>
        <v>0</v>
      </c>
      <c r="H34" s="60">
        <f>'Pro Forma Adj'!K35</f>
        <v>0</v>
      </c>
      <c r="I34" s="60">
        <f>'Pro Forma Adj'!L35</f>
        <v>9</v>
      </c>
      <c r="J34" s="60">
        <f>'Pro Forma Adj'!M35</f>
        <v>17889</v>
      </c>
      <c r="K34" s="60">
        <f>'Pro Forma Adj'!N35</f>
        <v>0</v>
      </c>
      <c r="L34" s="60">
        <f>'Pro Forma Adj'!O35</f>
        <v>0</v>
      </c>
    </row>
    <row r="35" spans="1:12" x14ac:dyDescent="0.3">
      <c r="A35" s="13" t="s">
        <v>32</v>
      </c>
      <c r="B35" s="60">
        <f t="shared" si="4"/>
        <v>0</v>
      </c>
      <c r="C35" s="60">
        <f>'Pro Forma Adj'!F36</f>
        <v>0</v>
      </c>
      <c r="D35" s="60">
        <f>'Pro Forma Adj'!G36</f>
        <v>0</v>
      </c>
      <c r="E35" s="60">
        <f>'Pro Forma Adj'!H36</f>
        <v>0</v>
      </c>
      <c r="F35" s="60">
        <f>'Pro Forma Adj'!I36</f>
        <v>0</v>
      </c>
      <c r="G35" s="60">
        <f>'Pro Forma Adj'!J36</f>
        <v>0</v>
      </c>
      <c r="H35" s="60">
        <f>'Pro Forma Adj'!K36</f>
        <v>0</v>
      </c>
      <c r="I35" s="60">
        <f>'Pro Forma Adj'!L36</f>
        <v>0</v>
      </c>
      <c r="J35" s="60">
        <f>'Pro Forma Adj'!M36</f>
        <v>0</v>
      </c>
      <c r="K35" s="60">
        <f>'Pro Forma Adj'!N36</f>
        <v>0</v>
      </c>
      <c r="L35" s="60">
        <f>'Pro Forma Adj'!O36</f>
        <v>0</v>
      </c>
    </row>
    <row r="36" spans="1:12" x14ac:dyDescent="0.3">
      <c r="A36" s="13" t="s">
        <v>33</v>
      </c>
      <c r="B36" s="60">
        <f t="shared" si="4"/>
        <v>0</v>
      </c>
      <c r="C36" s="60">
        <f>'Pro Forma Adj'!F37</f>
        <v>0</v>
      </c>
      <c r="D36" s="60">
        <f>'Pro Forma Adj'!G37</f>
        <v>0</v>
      </c>
      <c r="E36" s="60">
        <f>'Pro Forma Adj'!H37</f>
        <v>0</v>
      </c>
      <c r="F36" s="60">
        <f>'Pro Forma Adj'!I37</f>
        <v>0</v>
      </c>
      <c r="G36" s="60">
        <f>'Pro Forma Adj'!J37</f>
        <v>0</v>
      </c>
      <c r="H36" s="60">
        <f>'Pro Forma Adj'!K37</f>
        <v>0</v>
      </c>
      <c r="I36" s="60">
        <f>'Pro Forma Adj'!L37</f>
        <v>0</v>
      </c>
      <c r="J36" s="60">
        <f>'Pro Forma Adj'!M37</f>
        <v>0</v>
      </c>
      <c r="K36" s="60">
        <f>'Pro Forma Adj'!N37</f>
        <v>0</v>
      </c>
      <c r="L36" s="60">
        <f>'Pro Forma Adj'!O37</f>
        <v>0</v>
      </c>
    </row>
    <row r="37" spans="1:12" x14ac:dyDescent="0.3">
      <c r="A37" s="13" t="s">
        <v>34</v>
      </c>
      <c r="B37" s="204">
        <f t="shared" si="4"/>
        <v>7531067.6045434885</v>
      </c>
      <c r="C37" s="204">
        <f t="shared" ref="C37:I37" si="11">SUM(C28:C36)</f>
        <v>123696.40812281473</v>
      </c>
      <c r="D37" s="204">
        <f t="shared" si="11"/>
        <v>2989857.4393476993</v>
      </c>
      <c r="E37" s="204">
        <f t="shared" si="11"/>
        <v>0</v>
      </c>
      <c r="F37" s="204">
        <f t="shared" si="11"/>
        <v>0</v>
      </c>
      <c r="G37" s="204">
        <f t="shared" si="11"/>
        <v>0</v>
      </c>
      <c r="H37" s="204">
        <f t="shared" si="11"/>
        <v>0</v>
      </c>
      <c r="I37" s="204">
        <f t="shared" si="11"/>
        <v>1070.52</v>
      </c>
      <c r="J37" s="204">
        <f t="shared" ref="J37:K37" si="12">SUM(J28:J36)</f>
        <v>7936.9531012140433</v>
      </c>
      <c r="K37" s="204">
        <f t="shared" si="12"/>
        <v>2196411.1301742094</v>
      </c>
      <c r="L37" s="204">
        <f t="shared" ref="L37" si="13">SUM(L28:L36)</f>
        <v>2212095.1537975511</v>
      </c>
    </row>
    <row r="38" spans="1:12" x14ac:dyDescent="0.3">
      <c r="A38" s="13"/>
      <c r="B38" s="12">
        <f t="shared" si="4"/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2.9" thickBot="1" x14ac:dyDescent="0.35">
      <c r="A39" s="13" t="s">
        <v>35</v>
      </c>
      <c r="B39" s="208">
        <f t="shared" si="4"/>
        <v>-7531067.6045434885</v>
      </c>
      <c r="C39" s="208">
        <f t="shared" ref="C39:I39" si="14">C15-C37</f>
        <v>-123696.40812281473</v>
      </c>
      <c r="D39" s="208">
        <f t="shared" si="14"/>
        <v>-2989857.4393476993</v>
      </c>
      <c r="E39" s="208">
        <f t="shared" si="14"/>
        <v>0</v>
      </c>
      <c r="F39" s="208">
        <f t="shared" si="14"/>
        <v>0</v>
      </c>
      <c r="G39" s="208">
        <f t="shared" si="14"/>
        <v>0</v>
      </c>
      <c r="H39" s="208">
        <f t="shared" si="14"/>
        <v>0</v>
      </c>
      <c r="I39" s="208">
        <f t="shared" si="14"/>
        <v>-1070.52</v>
      </c>
      <c r="J39" s="208">
        <f t="shared" ref="J39:K39" si="15">J15-J37</f>
        <v>-7936.9531012140433</v>
      </c>
      <c r="K39" s="208">
        <f t="shared" si="15"/>
        <v>-2196411.1301742094</v>
      </c>
      <c r="L39" s="208">
        <f t="shared" ref="L39" si="16">L15-L37</f>
        <v>-2212095.1537975511</v>
      </c>
    </row>
    <row r="40" spans="1:12" ht="12.9" thickTop="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3">
      <c r="A41" s="13" t="s">
        <v>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3">
      <c r="A42" s="13" t="s">
        <v>37</v>
      </c>
      <c r="B42" s="60">
        <f t="shared" ref="B42:B53" si="17">SUM(C42:L42)</f>
        <v>334148578.84063983</v>
      </c>
      <c r="C42" s="60">
        <f>'Pro Forma Adj'!F43</f>
        <v>112074897.89437498</v>
      </c>
      <c r="D42" s="60">
        <f>'Pro Forma Adj'!G43</f>
        <v>0</v>
      </c>
      <c r="E42" s="60">
        <f>'Pro Forma Adj'!H43</f>
        <v>0</v>
      </c>
      <c r="F42" s="60">
        <f>'Pro Forma Adj'!I43</f>
        <v>0</v>
      </c>
      <c r="G42" s="60">
        <f>'Pro Forma Adj'!J43</f>
        <v>1155586.2634248782</v>
      </c>
      <c r="H42" s="60">
        <f>'Pro Forma Adj'!K43</f>
        <v>0</v>
      </c>
      <c r="I42" s="60">
        <f>'Pro Forma Adj'!L43</f>
        <v>95034</v>
      </c>
      <c r="J42" s="60">
        <f>'Pro Forma Adj'!M43</f>
        <v>783156.35552113433</v>
      </c>
      <c r="K42" s="60">
        <f>'Pro Forma Adj'!N43</f>
        <v>56661694.029025115</v>
      </c>
      <c r="L42" s="60">
        <f>'Pro Forma Adj'!O43</f>
        <v>163378210.29829377</v>
      </c>
    </row>
    <row r="43" spans="1:12" x14ac:dyDescent="0.3">
      <c r="A43" s="13" t="s">
        <v>38</v>
      </c>
      <c r="B43" s="60">
        <f t="shared" si="17"/>
        <v>0</v>
      </c>
      <c r="C43" s="60">
        <f>'Pro Forma Adj'!F44</f>
        <v>0</v>
      </c>
      <c r="D43" s="60">
        <f>'Pro Forma Adj'!G44</f>
        <v>0</v>
      </c>
      <c r="E43" s="60">
        <f>'Pro Forma Adj'!H44</f>
        <v>0</v>
      </c>
      <c r="F43" s="60">
        <f>'Pro Forma Adj'!I44</f>
        <v>0</v>
      </c>
      <c r="G43" s="60">
        <f>'Pro Forma Adj'!J44</f>
        <v>0</v>
      </c>
      <c r="H43" s="60">
        <f>'Pro Forma Adj'!K44</f>
        <v>0</v>
      </c>
      <c r="I43" s="60">
        <f>'Pro Forma Adj'!L44</f>
        <v>0</v>
      </c>
      <c r="J43" s="60">
        <f>'Pro Forma Adj'!M44</f>
        <v>0</v>
      </c>
      <c r="K43" s="60">
        <f>'Pro Forma Adj'!N44</f>
        <v>0</v>
      </c>
      <c r="L43" s="60">
        <f>'Pro Forma Adj'!O44</f>
        <v>0</v>
      </c>
    </row>
    <row r="44" spans="1:12" x14ac:dyDescent="0.3">
      <c r="A44" s="13" t="s">
        <v>39</v>
      </c>
      <c r="B44" s="60">
        <f t="shared" si="17"/>
        <v>0</v>
      </c>
      <c r="C44" s="60">
        <f>'Pro Forma Adj'!F45</f>
        <v>0</v>
      </c>
      <c r="D44" s="60">
        <f>'Pro Forma Adj'!G45</f>
        <v>0</v>
      </c>
      <c r="E44" s="60">
        <f>'Pro Forma Adj'!H45</f>
        <v>0</v>
      </c>
      <c r="F44" s="60">
        <f>'Pro Forma Adj'!I45</f>
        <v>0</v>
      </c>
      <c r="G44" s="60">
        <f>'Pro Forma Adj'!J45</f>
        <v>0</v>
      </c>
      <c r="H44" s="60">
        <f>'Pro Forma Adj'!K45</f>
        <v>0</v>
      </c>
      <c r="I44" s="60">
        <f>'Pro Forma Adj'!L45</f>
        <v>0</v>
      </c>
      <c r="J44" s="60">
        <f>'Pro Forma Adj'!M45</f>
        <v>0</v>
      </c>
      <c r="K44" s="60">
        <f>'Pro Forma Adj'!N45</f>
        <v>0</v>
      </c>
      <c r="L44" s="60">
        <f>'Pro Forma Adj'!O45</f>
        <v>0</v>
      </c>
    </row>
    <row r="45" spans="1:12" x14ac:dyDescent="0.3">
      <c r="A45" s="13" t="s">
        <v>40</v>
      </c>
      <c r="B45" s="60">
        <f t="shared" si="17"/>
        <v>0</v>
      </c>
      <c r="C45" s="60">
        <f>'Pro Forma Adj'!F46</f>
        <v>0</v>
      </c>
      <c r="D45" s="60">
        <f>'Pro Forma Adj'!G46</f>
        <v>0</v>
      </c>
      <c r="E45" s="60">
        <f>'Pro Forma Adj'!H46</f>
        <v>0</v>
      </c>
      <c r="F45" s="60">
        <f>'Pro Forma Adj'!I46</f>
        <v>0</v>
      </c>
      <c r="G45" s="60">
        <f>'Pro Forma Adj'!J46</f>
        <v>0</v>
      </c>
      <c r="H45" s="60">
        <f>'Pro Forma Adj'!K46</f>
        <v>0</v>
      </c>
      <c r="I45" s="60">
        <f>'Pro Forma Adj'!L46</f>
        <v>0</v>
      </c>
      <c r="J45" s="60">
        <f>'Pro Forma Adj'!M46</f>
        <v>0</v>
      </c>
      <c r="K45" s="60">
        <f>'Pro Forma Adj'!N46</f>
        <v>0</v>
      </c>
      <c r="L45" s="60">
        <f>'Pro Forma Adj'!O46</f>
        <v>0</v>
      </c>
    </row>
    <row r="46" spans="1:12" x14ac:dyDescent="0.3">
      <c r="A46" s="13" t="s">
        <v>41</v>
      </c>
      <c r="B46" s="60">
        <f t="shared" si="17"/>
        <v>0</v>
      </c>
      <c r="C46" s="60">
        <f>'Pro Forma Adj'!F47</f>
        <v>0</v>
      </c>
      <c r="D46" s="60">
        <f>'Pro Forma Adj'!G47</f>
        <v>0</v>
      </c>
      <c r="E46" s="60">
        <f>'Pro Forma Adj'!H47</f>
        <v>0</v>
      </c>
      <c r="F46" s="60">
        <f>'Pro Forma Adj'!I47</f>
        <v>0</v>
      </c>
      <c r="G46" s="60">
        <f>'Pro Forma Adj'!J47</f>
        <v>0</v>
      </c>
      <c r="H46" s="60">
        <f>'Pro Forma Adj'!K47</f>
        <v>0</v>
      </c>
      <c r="I46" s="60">
        <f>'Pro Forma Adj'!L47</f>
        <v>0</v>
      </c>
      <c r="J46" s="60">
        <f>'Pro Forma Adj'!M47</f>
        <v>0</v>
      </c>
      <c r="K46" s="60">
        <f>'Pro Forma Adj'!N47</f>
        <v>0</v>
      </c>
      <c r="L46" s="60">
        <f>'Pro Forma Adj'!O47</f>
        <v>0</v>
      </c>
    </row>
    <row r="47" spans="1:12" x14ac:dyDescent="0.3">
      <c r="A47" s="13" t="s">
        <v>42</v>
      </c>
      <c r="B47" s="60">
        <f t="shared" si="17"/>
        <v>0</v>
      </c>
      <c r="C47" s="60">
        <f>'Pro Forma Adj'!F48</f>
        <v>0</v>
      </c>
      <c r="D47" s="60">
        <f>'Pro Forma Adj'!G48</f>
        <v>0</v>
      </c>
      <c r="E47" s="60">
        <f>'Pro Forma Adj'!H48</f>
        <v>0</v>
      </c>
      <c r="F47" s="60">
        <f>'Pro Forma Adj'!I48</f>
        <v>0</v>
      </c>
      <c r="G47" s="60">
        <f>'Pro Forma Adj'!J48</f>
        <v>0</v>
      </c>
      <c r="H47" s="60">
        <f>'Pro Forma Adj'!K48</f>
        <v>0</v>
      </c>
      <c r="I47" s="60">
        <f>'Pro Forma Adj'!L48</f>
        <v>0</v>
      </c>
      <c r="J47" s="60">
        <f>'Pro Forma Adj'!M48</f>
        <v>0</v>
      </c>
      <c r="K47" s="60">
        <f>'Pro Forma Adj'!N48</f>
        <v>0</v>
      </c>
      <c r="L47" s="60">
        <f>'Pro Forma Adj'!O48</f>
        <v>0</v>
      </c>
    </row>
    <row r="48" spans="1:12" x14ac:dyDescent="0.3">
      <c r="A48" s="13" t="s">
        <v>43</v>
      </c>
      <c r="B48" s="60">
        <f t="shared" si="17"/>
        <v>0</v>
      </c>
      <c r="C48" s="60">
        <f>'Pro Forma Adj'!F49</f>
        <v>0</v>
      </c>
      <c r="D48" s="60">
        <f>'Pro Forma Adj'!G49</f>
        <v>0</v>
      </c>
      <c r="E48" s="60">
        <f>'Pro Forma Adj'!H49</f>
        <v>0</v>
      </c>
      <c r="F48" s="60">
        <f>'Pro Forma Adj'!I49</f>
        <v>0</v>
      </c>
      <c r="G48" s="60">
        <f>'Pro Forma Adj'!J49</f>
        <v>0</v>
      </c>
      <c r="H48" s="60">
        <f>'Pro Forma Adj'!K49</f>
        <v>0</v>
      </c>
      <c r="I48" s="60">
        <f>'Pro Forma Adj'!L49</f>
        <v>0</v>
      </c>
      <c r="J48" s="60">
        <f>'Pro Forma Adj'!M49</f>
        <v>0</v>
      </c>
      <c r="K48" s="60">
        <f>'Pro Forma Adj'!N49</f>
        <v>0</v>
      </c>
      <c r="L48" s="60">
        <f>'Pro Forma Adj'!O49</f>
        <v>0</v>
      </c>
    </row>
    <row r="49" spans="1:12" x14ac:dyDescent="0.3">
      <c r="A49" s="13" t="s">
        <v>44</v>
      </c>
      <c r="B49" s="60">
        <f t="shared" si="17"/>
        <v>0</v>
      </c>
      <c r="C49" s="60">
        <f>'Pro Forma Adj'!F50</f>
        <v>0</v>
      </c>
      <c r="D49" s="60">
        <f>'Pro Forma Adj'!G50</f>
        <v>0</v>
      </c>
      <c r="E49" s="60">
        <f>'Pro Forma Adj'!H50</f>
        <v>0</v>
      </c>
      <c r="F49" s="60">
        <f>'Pro Forma Adj'!I50</f>
        <v>0</v>
      </c>
      <c r="G49" s="60">
        <f>'Pro Forma Adj'!J50</f>
        <v>0</v>
      </c>
      <c r="H49" s="60">
        <f>'Pro Forma Adj'!K50</f>
        <v>0</v>
      </c>
      <c r="I49" s="60">
        <f>'Pro Forma Adj'!L50</f>
        <v>0</v>
      </c>
      <c r="J49" s="60">
        <f>'Pro Forma Adj'!M50</f>
        <v>0</v>
      </c>
      <c r="K49" s="60">
        <f>'Pro Forma Adj'!N50</f>
        <v>0</v>
      </c>
      <c r="L49" s="60">
        <f>'Pro Forma Adj'!O50</f>
        <v>0</v>
      </c>
    </row>
    <row r="50" spans="1:12" x14ac:dyDescent="0.3">
      <c r="A50" s="13" t="s">
        <v>45</v>
      </c>
      <c r="B50" s="60">
        <f t="shared" si="17"/>
        <v>0</v>
      </c>
      <c r="C50" s="60">
        <f>'Pro Forma Adj'!F51</f>
        <v>0</v>
      </c>
      <c r="D50" s="60">
        <f>'Pro Forma Adj'!G51</f>
        <v>0</v>
      </c>
      <c r="E50" s="60">
        <f>'Pro Forma Adj'!H51</f>
        <v>0</v>
      </c>
      <c r="F50" s="60">
        <f>'Pro Forma Adj'!I51</f>
        <v>0</v>
      </c>
      <c r="G50" s="60">
        <f>'Pro Forma Adj'!J51</f>
        <v>0</v>
      </c>
      <c r="H50" s="60">
        <f>'Pro Forma Adj'!K51</f>
        <v>0</v>
      </c>
      <c r="I50" s="60">
        <f>'Pro Forma Adj'!L51</f>
        <v>0</v>
      </c>
      <c r="J50" s="60">
        <f>'Pro Forma Adj'!M51</f>
        <v>0</v>
      </c>
      <c r="K50" s="60">
        <f>'Pro Forma Adj'!N51</f>
        <v>0</v>
      </c>
      <c r="L50" s="60">
        <f>'Pro Forma Adj'!O51</f>
        <v>0</v>
      </c>
    </row>
    <row r="51" spans="1:12" x14ac:dyDescent="0.3">
      <c r="A51" s="13" t="s">
        <v>46</v>
      </c>
      <c r="B51" s="60">
        <f t="shared" si="17"/>
        <v>0</v>
      </c>
      <c r="C51" s="60">
        <f>'Pro Forma Adj'!F52</f>
        <v>0</v>
      </c>
      <c r="D51" s="60">
        <f>'Pro Forma Adj'!G52</f>
        <v>0</v>
      </c>
      <c r="E51" s="60">
        <f>'Pro Forma Adj'!H52</f>
        <v>0</v>
      </c>
      <c r="F51" s="60">
        <f>'Pro Forma Adj'!I52</f>
        <v>0</v>
      </c>
      <c r="G51" s="60">
        <f>'Pro Forma Adj'!J52</f>
        <v>0</v>
      </c>
      <c r="H51" s="60">
        <f>'Pro Forma Adj'!K52</f>
        <v>0</v>
      </c>
      <c r="I51" s="60">
        <f>'Pro Forma Adj'!L52</f>
        <v>0</v>
      </c>
      <c r="J51" s="60">
        <f>'Pro Forma Adj'!M52</f>
        <v>0</v>
      </c>
      <c r="K51" s="60">
        <f>'Pro Forma Adj'!N52</f>
        <v>0</v>
      </c>
      <c r="L51" s="60">
        <f>'Pro Forma Adj'!O52</f>
        <v>0</v>
      </c>
    </row>
    <row r="52" spans="1:12" x14ac:dyDescent="0.3">
      <c r="A52" s="13" t="s">
        <v>47</v>
      </c>
      <c r="B52" s="60">
        <f t="shared" si="17"/>
        <v>0</v>
      </c>
      <c r="C52" s="60">
        <f>'Pro Forma Adj'!F53</f>
        <v>0</v>
      </c>
      <c r="D52" s="60">
        <f>'Pro Forma Adj'!G53</f>
        <v>0</v>
      </c>
      <c r="E52" s="60">
        <f>'Pro Forma Adj'!H53</f>
        <v>0</v>
      </c>
      <c r="F52" s="60">
        <f>'Pro Forma Adj'!I53</f>
        <v>0</v>
      </c>
      <c r="G52" s="60">
        <f>'Pro Forma Adj'!J53</f>
        <v>0</v>
      </c>
      <c r="H52" s="60">
        <f>'Pro Forma Adj'!K53</f>
        <v>0</v>
      </c>
      <c r="I52" s="60">
        <f>'Pro Forma Adj'!L53</f>
        <v>0</v>
      </c>
      <c r="J52" s="60">
        <f>'Pro Forma Adj'!M53</f>
        <v>0</v>
      </c>
      <c r="K52" s="60">
        <f>'Pro Forma Adj'!N53</f>
        <v>0</v>
      </c>
      <c r="L52" s="60">
        <f>'Pro Forma Adj'!O53</f>
        <v>0</v>
      </c>
    </row>
    <row r="53" spans="1:12" x14ac:dyDescent="0.3">
      <c r="A53" s="13" t="s">
        <v>48</v>
      </c>
      <c r="B53" s="211">
        <f t="shared" si="17"/>
        <v>334148578.84063983</v>
      </c>
      <c r="C53" s="211">
        <f t="shared" ref="C53:I53" si="18">SUM(C42:C52)</f>
        <v>112074897.89437498</v>
      </c>
      <c r="D53" s="211">
        <f t="shared" si="18"/>
        <v>0</v>
      </c>
      <c r="E53" s="211">
        <f t="shared" si="18"/>
        <v>0</v>
      </c>
      <c r="F53" s="211">
        <f t="shared" si="18"/>
        <v>0</v>
      </c>
      <c r="G53" s="211">
        <f t="shared" si="18"/>
        <v>1155586.2634248782</v>
      </c>
      <c r="H53" s="211">
        <f t="shared" si="18"/>
        <v>0</v>
      </c>
      <c r="I53" s="211">
        <f t="shared" si="18"/>
        <v>95034</v>
      </c>
      <c r="J53" s="211">
        <f t="shared" ref="J53:K53" si="19">SUM(J42:J52)</f>
        <v>783156.35552113433</v>
      </c>
      <c r="K53" s="211">
        <f t="shared" si="19"/>
        <v>56661694.029025115</v>
      </c>
      <c r="L53" s="211">
        <f t="shared" ref="L53" si="20">SUM(L42:L52)</f>
        <v>163378210.29829377</v>
      </c>
    </row>
    <row r="54" spans="1:12" x14ac:dyDescent="0.3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3">
      <c r="A55" s="13" t="s">
        <v>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3">
      <c r="A56" s="13" t="s">
        <v>50</v>
      </c>
      <c r="B56" s="60">
        <f t="shared" ref="B56:B64" si="21">SUM(C56:L56)</f>
        <v>-51251438.768470183</v>
      </c>
      <c r="C56" s="60">
        <f>'Pro Forma Adj'!F57</f>
        <v>0</v>
      </c>
      <c r="D56" s="60">
        <f>'Pro Forma Adj'!G57</f>
        <v>0</v>
      </c>
      <c r="E56" s="60">
        <f>'Pro Forma Adj'!H57</f>
        <v>-42885257.790897198</v>
      </c>
      <c r="F56" s="60">
        <f>'Pro Forma Adj'!I57</f>
        <v>0</v>
      </c>
      <c r="G56" s="60">
        <f>'Pro Forma Adj'!J57</f>
        <v>-2039193.9216359917</v>
      </c>
      <c r="H56" s="60">
        <f>'Pro Forma Adj'!K57</f>
        <v>-2952540.8917818191</v>
      </c>
      <c r="I56" s="60">
        <f>'Pro Forma Adj'!L57</f>
        <v>-15796</v>
      </c>
      <c r="J56" s="60">
        <f>'Pro Forma Adj'!M57</f>
        <v>-20863.657451602456</v>
      </c>
      <c r="K56" s="60">
        <f>'Pro Forma Adj'!N57</f>
        <v>-1047639.9611335265</v>
      </c>
      <c r="L56" s="60">
        <f>'Pro Forma Adj'!O57</f>
        <v>-2290146.5455700466</v>
      </c>
    </row>
    <row r="57" spans="1:12" x14ac:dyDescent="0.3">
      <c r="A57" s="13" t="s">
        <v>51</v>
      </c>
      <c r="B57" s="60">
        <f t="shared" si="21"/>
        <v>-4541116.6972164949</v>
      </c>
      <c r="C57" s="60">
        <f>'Pro Forma Adj'!F58</f>
        <v>0</v>
      </c>
      <c r="D57" s="60">
        <f>'Pro Forma Adj'!G58</f>
        <v>0</v>
      </c>
      <c r="E57" s="60">
        <f>'Pro Forma Adj'!H58</f>
        <v>-4541116.6972164949</v>
      </c>
      <c r="F57" s="60">
        <f>'Pro Forma Adj'!I58</f>
        <v>0</v>
      </c>
      <c r="G57" s="60">
        <f>'Pro Forma Adj'!J58</f>
        <v>0</v>
      </c>
      <c r="H57" s="60">
        <f>'Pro Forma Adj'!K58</f>
        <v>0</v>
      </c>
      <c r="I57" s="60">
        <f>'Pro Forma Adj'!L58</f>
        <v>0</v>
      </c>
      <c r="J57" s="60">
        <f>'Pro Forma Adj'!M58</f>
        <v>0</v>
      </c>
      <c r="K57" s="60">
        <f>'Pro Forma Adj'!N58</f>
        <v>0</v>
      </c>
      <c r="L57" s="60">
        <f>'Pro Forma Adj'!O58</f>
        <v>0</v>
      </c>
    </row>
    <row r="58" spans="1:12" x14ac:dyDescent="0.3">
      <c r="A58" s="13" t="s">
        <v>52</v>
      </c>
      <c r="B58" s="60">
        <f t="shared" si="21"/>
        <v>2408420.0747139137</v>
      </c>
      <c r="C58" s="60">
        <f>'Pro Forma Adj'!F59</f>
        <v>271075.9144625013</v>
      </c>
      <c r="D58" s="60">
        <f>'Pro Forma Adj'!G59</f>
        <v>0</v>
      </c>
      <c r="E58" s="60">
        <f>'Pro Forma Adj'!H59</f>
        <v>0</v>
      </c>
      <c r="F58" s="60">
        <f>'Pro Forma Adj'!I59</f>
        <v>1458888.8986401951</v>
      </c>
      <c r="G58" s="60">
        <f>'Pro Forma Adj'!J59</f>
        <v>0</v>
      </c>
      <c r="H58" s="60">
        <f>'Pro Forma Adj'!K59</f>
        <v>725931.66161339439</v>
      </c>
      <c r="I58" s="60">
        <f>'Pro Forma Adj'!L59</f>
        <v>-19192</v>
      </c>
      <c r="J58" s="60">
        <f>'Pro Forma Adj'!M59</f>
        <v>-28284.400002177117</v>
      </c>
      <c r="K58" s="60">
        <f>'Pro Forma Adj'!N59</f>
        <v>0</v>
      </c>
      <c r="L58" s="60">
        <f>'Pro Forma Adj'!O59</f>
        <v>0</v>
      </c>
    </row>
    <row r="59" spans="1:12" x14ac:dyDescent="0.3">
      <c r="A59" s="13" t="s">
        <v>53</v>
      </c>
      <c r="B59" s="60">
        <f t="shared" si="21"/>
        <v>0</v>
      </c>
      <c r="C59" s="60">
        <f>'Pro Forma Adj'!F60</f>
        <v>0</v>
      </c>
      <c r="D59" s="60">
        <f>'Pro Forma Adj'!G60</f>
        <v>0</v>
      </c>
      <c r="E59" s="60">
        <f>'Pro Forma Adj'!H60</f>
        <v>0</v>
      </c>
      <c r="F59" s="60">
        <f>'Pro Forma Adj'!I60</f>
        <v>0</v>
      </c>
      <c r="G59" s="60">
        <f>'Pro Forma Adj'!J60</f>
        <v>0</v>
      </c>
      <c r="H59" s="60">
        <f>'Pro Forma Adj'!K60</f>
        <v>0</v>
      </c>
      <c r="I59" s="60">
        <f>'Pro Forma Adj'!L60</f>
        <v>0</v>
      </c>
      <c r="J59" s="60">
        <f>'Pro Forma Adj'!M60</f>
        <v>0</v>
      </c>
      <c r="K59" s="60">
        <f>'Pro Forma Adj'!N60</f>
        <v>0</v>
      </c>
      <c r="L59" s="60">
        <f>'Pro Forma Adj'!O60</f>
        <v>0</v>
      </c>
    </row>
    <row r="60" spans="1:12" x14ac:dyDescent="0.3">
      <c r="A60" s="13" t="s">
        <v>54</v>
      </c>
      <c r="B60" s="60">
        <f t="shared" si="21"/>
        <v>0</v>
      </c>
      <c r="C60" s="60">
        <f>'Pro Forma Adj'!F61</f>
        <v>0</v>
      </c>
      <c r="D60" s="60">
        <f>'Pro Forma Adj'!G61</f>
        <v>0</v>
      </c>
      <c r="E60" s="60">
        <f>'Pro Forma Adj'!H61</f>
        <v>0</v>
      </c>
      <c r="F60" s="60">
        <f>'Pro Forma Adj'!I61</f>
        <v>0</v>
      </c>
      <c r="G60" s="60">
        <f>'Pro Forma Adj'!J61</f>
        <v>0</v>
      </c>
      <c r="H60" s="60">
        <f>'Pro Forma Adj'!K61</f>
        <v>0</v>
      </c>
      <c r="I60" s="60">
        <f>'Pro Forma Adj'!L61</f>
        <v>0</v>
      </c>
      <c r="J60" s="60">
        <f>'Pro Forma Adj'!M61</f>
        <v>0</v>
      </c>
      <c r="K60" s="60">
        <f>'Pro Forma Adj'!N61</f>
        <v>0</v>
      </c>
      <c r="L60" s="60">
        <f>'Pro Forma Adj'!O61</f>
        <v>0</v>
      </c>
    </row>
    <row r="61" spans="1:12" x14ac:dyDescent="0.3">
      <c r="A61" s="13" t="s">
        <v>55</v>
      </c>
      <c r="B61" s="60">
        <f t="shared" si="21"/>
        <v>0</v>
      </c>
      <c r="C61" s="60">
        <f>'Pro Forma Adj'!F62</f>
        <v>0</v>
      </c>
      <c r="D61" s="60">
        <f>'Pro Forma Adj'!G62</f>
        <v>0</v>
      </c>
      <c r="E61" s="60">
        <f>'Pro Forma Adj'!H62</f>
        <v>0</v>
      </c>
      <c r="F61" s="60">
        <f>'Pro Forma Adj'!I62</f>
        <v>0</v>
      </c>
      <c r="G61" s="60">
        <f>'Pro Forma Adj'!J62</f>
        <v>0</v>
      </c>
      <c r="H61" s="60">
        <f>'Pro Forma Adj'!K62</f>
        <v>0</v>
      </c>
      <c r="I61" s="60">
        <f>'Pro Forma Adj'!L62</f>
        <v>0</v>
      </c>
      <c r="J61" s="60">
        <f>'Pro Forma Adj'!M62</f>
        <v>0</v>
      </c>
      <c r="K61" s="60">
        <f>'Pro Forma Adj'!N62</f>
        <v>0</v>
      </c>
      <c r="L61" s="60">
        <f>'Pro Forma Adj'!O62</f>
        <v>0</v>
      </c>
    </row>
    <row r="62" spans="1:12" x14ac:dyDescent="0.3">
      <c r="A62" s="13" t="s">
        <v>56</v>
      </c>
      <c r="B62" s="60">
        <f t="shared" si="21"/>
        <v>-5933674.8417438725</v>
      </c>
      <c r="C62" s="60">
        <f>'Pro Forma Adj'!F63</f>
        <v>0</v>
      </c>
      <c r="D62" s="60">
        <f>'Pro Forma Adj'!G63</f>
        <v>0</v>
      </c>
      <c r="E62" s="60">
        <f>'Pro Forma Adj'!H63</f>
        <v>0</v>
      </c>
      <c r="F62" s="60">
        <f>'Pro Forma Adj'!I63</f>
        <v>-5933674.8417438725</v>
      </c>
      <c r="G62" s="60">
        <f>'Pro Forma Adj'!J63</f>
        <v>0</v>
      </c>
      <c r="H62" s="60">
        <f>'Pro Forma Adj'!K63</f>
        <v>0</v>
      </c>
      <c r="I62" s="60">
        <f>'Pro Forma Adj'!L63</f>
        <v>0</v>
      </c>
      <c r="J62" s="60">
        <f>'Pro Forma Adj'!M63</f>
        <v>0</v>
      </c>
      <c r="K62" s="60">
        <f>'Pro Forma Adj'!N63</f>
        <v>0</v>
      </c>
      <c r="L62" s="60">
        <f>'Pro Forma Adj'!O63</f>
        <v>0</v>
      </c>
    </row>
    <row r="63" spans="1:12" x14ac:dyDescent="0.3">
      <c r="A63" s="13"/>
      <c r="B63" s="12">
        <f t="shared" si="21"/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3">
      <c r="A64" s="13" t="s">
        <v>57</v>
      </c>
      <c r="B64" s="204">
        <f t="shared" si="21"/>
        <v>-59317810.232716642</v>
      </c>
      <c r="C64" s="204">
        <f t="shared" ref="C64:G64" si="22">SUM(C56:C63)</f>
        <v>271075.9144625013</v>
      </c>
      <c r="D64" s="204">
        <f t="shared" ref="D64:E64" si="23">SUM(D56:D63)</f>
        <v>0</v>
      </c>
      <c r="E64" s="204">
        <f t="shared" si="23"/>
        <v>-47426374.488113694</v>
      </c>
      <c r="F64" s="204">
        <f t="shared" si="22"/>
        <v>-4474785.9431036776</v>
      </c>
      <c r="G64" s="204">
        <f t="shared" si="22"/>
        <v>-2039193.9216359917</v>
      </c>
      <c r="H64" s="204">
        <f t="shared" ref="H64:I64" si="24">SUM(H56:H63)</f>
        <v>-2226609.2301684245</v>
      </c>
      <c r="I64" s="204">
        <f t="shared" si="24"/>
        <v>-34988</v>
      </c>
      <c r="J64" s="204">
        <f t="shared" ref="J64:K64" si="25">SUM(J56:J63)</f>
        <v>-49148.057453779576</v>
      </c>
      <c r="K64" s="204">
        <f t="shared" si="25"/>
        <v>-1047639.9611335265</v>
      </c>
      <c r="L64" s="204">
        <f t="shared" ref="L64" si="26">SUM(L56:L63)</f>
        <v>-2290146.5455700466</v>
      </c>
    </row>
    <row r="65" spans="1:12" x14ac:dyDescent="0.3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2.9" thickBot="1" x14ac:dyDescent="0.35">
      <c r="A66" s="13" t="s">
        <v>58</v>
      </c>
      <c r="B66" s="214">
        <f>SUM(C66:L66)</f>
        <v>274830768.60792327</v>
      </c>
      <c r="C66" s="214">
        <f t="shared" ref="C66:I66" si="27">C53+C64</f>
        <v>112345973.80883749</v>
      </c>
      <c r="D66" s="214">
        <f t="shared" si="27"/>
        <v>0</v>
      </c>
      <c r="E66" s="214">
        <f t="shared" si="27"/>
        <v>-47426374.488113694</v>
      </c>
      <c r="F66" s="214">
        <f t="shared" si="27"/>
        <v>-4474785.9431036776</v>
      </c>
      <c r="G66" s="214">
        <f t="shared" si="27"/>
        <v>-883607.65821111342</v>
      </c>
      <c r="H66" s="214">
        <f t="shared" si="27"/>
        <v>-2226609.2301684245</v>
      </c>
      <c r="I66" s="214">
        <f t="shared" si="27"/>
        <v>60046</v>
      </c>
      <c r="J66" s="214">
        <f t="shared" ref="J66:K66" si="28">J53+J64</f>
        <v>734008.29806735471</v>
      </c>
      <c r="K66" s="214">
        <f t="shared" si="28"/>
        <v>55614054.06789159</v>
      </c>
      <c r="L66" s="214">
        <f t="shared" ref="L66" si="29">L53+L64</f>
        <v>161088063.75272372</v>
      </c>
    </row>
    <row r="67" spans="1:12" ht="12.9" thickTop="1" x14ac:dyDescent="0.3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3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s="134" customFormat="1" x14ac:dyDescent="0.3">
      <c r="A69" s="16" t="s">
        <v>91</v>
      </c>
      <c r="B69" s="16">
        <f t="shared" ref="B69:I69" si="30">(((B39+Unadj_Op_revenue)/(B66+Unadj_rate_base))-Weighted_cost_debt-Weighted_cost_pref)/Percent_common-Unadj_ROE</f>
        <v>-3.9519467105952041E-2</v>
      </c>
      <c r="C69" s="16">
        <f t="shared" si="30"/>
        <v>-1.3023019142518841E-2</v>
      </c>
      <c r="D69" s="16">
        <f t="shared" si="30"/>
        <v>-4.9523962873150307E-3</v>
      </c>
      <c r="E69" s="16">
        <f t="shared" si="30"/>
        <v>7.1311850109359587E-3</v>
      </c>
      <c r="F69" s="16">
        <f t="shared" si="30"/>
        <v>1.1953013036723886E-3</v>
      </c>
      <c r="G69" s="16">
        <f t="shared" si="30"/>
        <v>7.2009582067855682E-4</v>
      </c>
      <c r="H69" s="16">
        <f t="shared" si="30"/>
        <v>8.9744427228206913E-4</v>
      </c>
      <c r="I69" s="16">
        <f t="shared" si="30"/>
        <v>5.9375351823276468E-4</v>
      </c>
      <c r="J69" s="16">
        <f t="shared" ref="J69:K69" si="31">(((J39+Unadj_Op_revenue)/(J66+Unadj_rate_base))-Weighted_cost_debt-Weighted_cost_pref)/Percent_common-Unadj_ROE</f>
        <v>4.9232080019530333E-4</v>
      </c>
      <c r="K69" s="16">
        <f t="shared" si="31"/>
        <v>-1.0250381685035143E-2</v>
      </c>
      <c r="L69" s="16">
        <f t="shared" ref="L69" si="32">(((L39+Unadj_Op_revenue)/(L66+Unadj_rate_base))-Weighted_cost_debt-Weighted_cost_pref)/Percent_common-Unadj_ROE</f>
        <v>-2.1474045813564435E-2</v>
      </c>
    </row>
    <row r="70" spans="1:12" x14ac:dyDescent="0.3">
      <c r="A70" s="13" t="s">
        <v>6</v>
      </c>
      <c r="B70" s="189">
        <f>SUM(C70:L70)</f>
        <v>35920326.462482914</v>
      </c>
      <c r="C70" s="189">
        <f t="shared" ref="C70:I70" si="33">-(C39-(C66*Overall_ROR))/gross_up_factor</f>
        <v>10753305.428922944</v>
      </c>
      <c r="D70" s="189">
        <f t="shared" si="33"/>
        <v>3976826.1543290936</v>
      </c>
      <c r="E70" s="189">
        <f t="shared" si="33"/>
        <v>-4470006.7628523502</v>
      </c>
      <c r="F70" s="189">
        <f t="shared" si="33"/>
        <v>-421755.27106764575</v>
      </c>
      <c r="G70" s="189">
        <f t="shared" si="33"/>
        <v>-83281.34398933893</v>
      </c>
      <c r="H70" s="189">
        <f t="shared" si="33"/>
        <v>-209861.2517719818</v>
      </c>
      <c r="I70" s="189">
        <f t="shared" si="33"/>
        <v>7083.3300089915128</v>
      </c>
      <c r="J70" s="189">
        <f t="shared" ref="J70:K70" si="34">-(J39-(J66*Overall_ROR))/gross_up_factor</f>
        <v>79738.366289264028</v>
      </c>
      <c r="K70" s="189">
        <f t="shared" si="34"/>
        <v>8163166.581992574</v>
      </c>
      <c r="L70" s="189">
        <f t="shared" ref="L70" si="35">-(L39-(L66*Overall_ROR))/gross_up_factor</f>
        <v>18125111.230621364</v>
      </c>
    </row>
    <row r="71" spans="1:12" x14ac:dyDescent="0.3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3" t="s">
        <v>60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3">
      <c r="A73" s="13" t="s">
        <v>61</v>
      </c>
      <c r="B73" s="189">
        <f t="shared" ref="B73:B79" si="36">SUM(C73:L73)</f>
        <v>-9373113.8451537192</v>
      </c>
      <c r="C73" s="189">
        <f t="shared" ref="C73:I73" si="37">C15-C28-C29-C30-C31-C36</f>
        <v>0</v>
      </c>
      <c r="D73" s="189">
        <f t="shared" si="37"/>
        <v>-3784629.670060379</v>
      </c>
      <c r="E73" s="189">
        <f t="shared" si="37"/>
        <v>0</v>
      </c>
      <c r="F73" s="189">
        <f t="shared" si="37"/>
        <v>0</v>
      </c>
      <c r="G73" s="189">
        <f t="shared" si="37"/>
        <v>0</v>
      </c>
      <c r="H73" s="189">
        <f t="shared" si="37"/>
        <v>0</v>
      </c>
      <c r="I73" s="189">
        <f t="shared" si="37"/>
        <v>-1353</v>
      </c>
      <c r="J73" s="189">
        <f t="shared" ref="J73:K73" si="38">J15-J28-J29-J30-J31-J36</f>
        <v>-6743.4738632640911</v>
      </c>
      <c r="K73" s="189">
        <f t="shared" si="38"/>
        <v>-2780267.2533850749</v>
      </c>
      <c r="L73" s="189">
        <f t="shared" ref="L73" si="39">L15-L28-L29-L30-L31-L36</f>
        <v>-2800120.4478450012</v>
      </c>
    </row>
    <row r="74" spans="1:12" x14ac:dyDescent="0.3">
      <c r="A74" s="13" t="s">
        <v>62</v>
      </c>
      <c r="B74" s="12">
        <f t="shared" si="36"/>
        <v>0</v>
      </c>
      <c r="C74" s="12">
        <f>'Pro Forma Adj'!F75</f>
        <v>0</v>
      </c>
      <c r="D74" s="12">
        <f>'Pro Forma Adj'!G75</f>
        <v>0</v>
      </c>
      <c r="E74" s="12">
        <f>'Pro Forma Adj'!H75</f>
        <v>0</v>
      </c>
      <c r="F74" s="12">
        <f>'Pro Forma Adj'!I75</f>
        <v>0</v>
      </c>
      <c r="G74" s="12">
        <f>'Pro Forma Adj'!J75</f>
        <v>0</v>
      </c>
      <c r="H74" s="12">
        <f>'Pro Forma Adj'!K75</f>
        <v>0</v>
      </c>
      <c r="I74" s="12">
        <f>'Pro Forma Adj'!L75</f>
        <v>0</v>
      </c>
      <c r="J74" s="12">
        <f>'Pro Forma Adj'!M75</f>
        <v>0</v>
      </c>
      <c r="K74" s="12">
        <f>'Pro Forma Adj'!N75</f>
        <v>0</v>
      </c>
      <c r="L74" s="12">
        <f>'Pro Forma Adj'!O75</f>
        <v>0</v>
      </c>
    </row>
    <row r="75" spans="1:12" x14ac:dyDescent="0.3">
      <c r="A75" s="13" t="s">
        <v>63</v>
      </c>
      <c r="B75" s="58">
        <f t="shared" si="36"/>
        <v>0</v>
      </c>
      <c r="C75" s="58">
        <f>'Pro Forma Adj'!F76</f>
        <v>0</v>
      </c>
      <c r="D75" s="58">
        <f>'Pro Forma Adj'!G76</f>
        <v>0</v>
      </c>
      <c r="E75" s="58">
        <f>'Pro Forma Adj'!H76</f>
        <v>0</v>
      </c>
      <c r="F75" s="58">
        <f>'Pro Forma Adj'!I76</f>
        <v>0</v>
      </c>
      <c r="G75" s="58">
        <f>'Pro Forma Adj'!J76</f>
        <v>0</v>
      </c>
      <c r="H75" s="58">
        <f>'Pro Forma Adj'!K76</f>
        <v>0</v>
      </c>
      <c r="I75" s="58">
        <f>'Pro Forma Adj'!L76</f>
        <v>0</v>
      </c>
      <c r="J75" s="58">
        <f>'Pro Forma Adj'!M76</f>
        <v>0</v>
      </c>
      <c r="K75" s="58">
        <f>'Pro Forma Adj'!N76</f>
        <v>0</v>
      </c>
      <c r="L75" s="58">
        <f>'Pro Forma Adj'!O76</f>
        <v>0</v>
      </c>
    </row>
    <row r="76" spans="1:12" x14ac:dyDescent="0.3">
      <c r="A76" s="13" t="s">
        <v>64</v>
      </c>
      <c r="B76" s="58">
        <f t="shared" si="36"/>
        <v>0</v>
      </c>
      <c r="C76" s="58">
        <f>'Pro Forma Adj'!F77</f>
        <v>0</v>
      </c>
      <c r="D76" s="58">
        <f>'Pro Forma Adj'!G77</f>
        <v>0</v>
      </c>
      <c r="E76" s="58">
        <f>'Pro Forma Adj'!H77</f>
        <v>0</v>
      </c>
      <c r="F76" s="58">
        <f>'Pro Forma Adj'!I77</f>
        <v>0</v>
      </c>
      <c r="G76" s="58">
        <f>'Pro Forma Adj'!J77</f>
        <v>0</v>
      </c>
      <c r="H76" s="58">
        <f>'Pro Forma Adj'!K77</f>
        <v>0</v>
      </c>
      <c r="I76" s="58">
        <f>'Pro Forma Adj'!L77</f>
        <v>0</v>
      </c>
      <c r="J76" s="58">
        <f>'Pro Forma Adj'!M77</f>
        <v>0</v>
      </c>
      <c r="K76" s="58">
        <f>'Pro Forma Adj'!N77</f>
        <v>0</v>
      </c>
      <c r="L76" s="58">
        <f>'Pro Forma Adj'!O77</f>
        <v>0</v>
      </c>
    </row>
    <row r="77" spans="1:12" x14ac:dyDescent="0.3">
      <c r="A77" s="13" t="s">
        <v>65</v>
      </c>
      <c r="B77" s="58">
        <f t="shared" si="36"/>
        <v>264567.59324455645</v>
      </c>
      <c r="C77" s="58">
        <f>'Pro Forma Adj'!F78</f>
        <v>254857.61407934257</v>
      </c>
      <c r="D77" s="58">
        <f>'Pro Forma Adj'!G78</f>
        <v>0</v>
      </c>
      <c r="E77" s="58">
        <f>'Pro Forma Adj'!H78</f>
        <v>0</v>
      </c>
      <c r="F77" s="58">
        <f>'Pro Forma Adj'!I78</f>
        <v>0</v>
      </c>
      <c r="G77" s="58">
        <f>'Pro Forma Adj'!J78</f>
        <v>0</v>
      </c>
      <c r="H77" s="58">
        <f>'Pro Forma Adj'!K78</f>
        <v>0</v>
      </c>
      <c r="I77" s="58">
        <f>'Pro Forma Adj'!L78</f>
        <v>1353</v>
      </c>
      <c r="J77" s="58">
        <f>'Pro Forma Adj'!M78</f>
        <v>8356.9791652138538</v>
      </c>
      <c r="K77" s="58">
        <f>'Pro Forma Adj'!N78</f>
        <v>0</v>
      </c>
      <c r="L77" s="58">
        <f>'Pro Forma Adj'!O78</f>
        <v>0</v>
      </c>
    </row>
    <row r="78" spans="1:12" x14ac:dyDescent="0.3">
      <c r="A78" s="13" t="s">
        <v>66</v>
      </c>
      <c r="B78" s="64">
        <f t="shared" si="36"/>
        <v>3786204.9762987876</v>
      </c>
      <c r="C78" s="64">
        <f>'Pro Forma Adj'!F79</f>
        <v>3703700.9911775519</v>
      </c>
      <c r="D78" s="64">
        <f>'Pro Forma Adj'!G79</f>
        <v>0</v>
      </c>
      <c r="E78" s="64">
        <f>'Pro Forma Adj'!H79</f>
        <v>0</v>
      </c>
      <c r="F78" s="64">
        <f>'Pro Forma Adj'!I79</f>
        <v>0</v>
      </c>
      <c r="G78" s="64">
        <f>'Pro Forma Adj'!J79</f>
        <v>0</v>
      </c>
      <c r="H78" s="64">
        <f>'Pro Forma Adj'!K79</f>
        <v>0</v>
      </c>
      <c r="I78" s="64">
        <f>'Pro Forma Adj'!L79</f>
        <v>1388</v>
      </c>
      <c r="J78" s="64">
        <f>'Pro Forma Adj'!M79</f>
        <v>81115.985121235703</v>
      </c>
      <c r="K78" s="64">
        <f>'Pro Forma Adj'!N79</f>
        <v>0</v>
      </c>
      <c r="L78" s="64">
        <f>'Pro Forma Adj'!O79</f>
        <v>0</v>
      </c>
    </row>
    <row r="79" spans="1:12" x14ac:dyDescent="0.3">
      <c r="A79" s="13" t="s">
        <v>67</v>
      </c>
      <c r="B79" s="13">
        <f t="shared" si="36"/>
        <v>-12894751.22820795</v>
      </c>
      <c r="C79" s="13">
        <f t="shared" ref="C79:I79" si="40">C73-C75-C76+C77-C78</f>
        <v>-3448843.3770982092</v>
      </c>
      <c r="D79" s="13">
        <f t="shared" si="40"/>
        <v>-3784629.670060379</v>
      </c>
      <c r="E79" s="13">
        <f t="shared" si="40"/>
        <v>0</v>
      </c>
      <c r="F79" s="13">
        <f t="shared" si="40"/>
        <v>0</v>
      </c>
      <c r="G79" s="13">
        <f t="shared" si="40"/>
        <v>0</v>
      </c>
      <c r="H79" s="13">
        <f t="shared" si="40"/>
        <v>0</v>
      </c>
      <c r="I79" s="13">
        <f t="shared" si="40"/>
        <v>-1388</v>
      </c>
      <c r="J79" s="13">
        <f t="shared" ref="J79:K79" si="41">J73-J75-J76+J77-J78</f>
        <v>-79502.479819285945</v>
      </c>
      <c r="K79" s="13">
        <f t="shared" si="41"/>
        <v>-2780267.2533850749</v>
      </c>
      <c r="L79" s="13">
        <f t="shared" ref="L79" si="42">L73-L75-L76+L77-L78</f>
        <v>-2800120.4478450012</v>
      </c>
    </row>
    <row r="80" spans="1:12" x14ac:dyDescent="0.3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3">
      <c r="A81" s="13" t="s">
        <v>68</v>
      </c>
      <c r="B81" s="12">
        <f>SUM(C81:L81)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2.9" thickBot="1" x14ac:dyDescent="0.35">
      <c r="A82" s="13" t="s">
        <v>69</v>
      </c>
      <c r="B82" s="235">
        <f>SUM(C82:L82)</f>
        <v>-12894751.22820795</v>
      </c>
      <c r="C82" s="235">
        <f t="shared" ref="C82:I82" si="43">C79-C81</f>
        <v>-3448843.3770982092</v>
      </c>
      <c r="D82" s="235">
        <f t="shared" si="43"/>
        <v>-3784629.670060379</v>
      </c>
      <c r="E82" s="235">
        <f t="shared" si="43"/>
        <v>0</v>
      </c>
      <c r="F82" s="235">
        <f t="shared" si="43"/>
        <v>0</v>
      </c>
      <c r="G82" s="235">
        <f t="shared" si="43"/>
        <v>0</v>
      </c>
      <c r="H82" s="235">
        <f t="shared" si="43"/>
        <v>0</v>
      </c>
      <c r="I82" s="235">
        <f t="shared" si="43"/>
        <v>-1388</v>
      </c>
      <c r="J82" s="235">
        <f t="shared" ref="J82:K82" si="44">J79-J81</f>
        <v>-79502.479819285945</v>
      </c>
      <c r="K82" s="235">
        <f t="shared" si="44"/>
        <v>-2780267.2533850749</v>
      </c>
      <c r="L82" s="235">
        <f t="shared" ref="L82" si="45">L79-L81</f>
        <v>-2800120.4478450012</v>
      </c>
    </row>
    <row r="83" spans="1:12" x14ac:dyDescent="0.3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3">
      <c r="A84" s="13" t="s">
        <v>79</v>
      </c>
      <c r="B84" s="12">
        <f>SUM(C84:L84)</f>
        <v>-2707897.7579236692</v>
      </c>
      <c r="C84" s="12">
        <f t="shared" ref="C84:I84" si="46">C82*0.21</f>
        <v>-724257.10919062386</v>
      </c>
      <c r="D84" s="12">
        <f t="shared" si="46"/>
        <v>-794772.23071267956</v>
      </c>
      <c r="E84" s="12">
        <f t="shared" si="46"/>
        <v>0</v>
      </c>
      <c r="F84" s="12">
        <f t="shared" si="46"/>
        <v>0</v>
      </c>
      <c r="G84" s="12">
        <f t="shared" si="46"/>
        <v>0</v>
      </c>
      <c r="H84" s="12">
        <f t="shared" si="46"/>
        <v>0</v>
      </c>
      <c r="I84" s="12">
        <f t="shared" si="46"/>
        <v>-291.47999999999996</v>
      </c>
      <c r="J84" s="12">
        <f t="shared" ref="J84:K84" si="47">J82*0.21</f>
        <v>-16695.520762050048</v>
      </c>
      <c r="K84" s="12">
        <f t="shared" si="47"/>
        <v>-583856.12321086565</v>
      </c>
      <c r="L84" s="12">
        <f t="shared" ref="L84" si="48">L82*0.21</f>
        <v>-588025.29404745018</v>
      </c>
    </row>
    <row r="85" spans="1:12" x14ac:dyDescent="0.3">
      <c r="A85" s="13" t="s">
        <v>126</v>
      </c>
      <c r="B85" s="12">
        <f>SUM(C85:L85)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2.9" thickBot="1" x14ac:dyDescent="0.35">
      <c r="A86" s="13" t="s">
        <v>81</v>
      </c>
      <c r="B86" s="242">
        <f>SUM(C86:L86)</f>
        <v>-2707897.7579236692</v>
      </c>
      <c r="C86" s="242">
        <f t="shared" ref="C86:I86" si="49">C84+C85</f>
        <v>-724257.10919062386</v>
      </c>
      <c r="D86" s="242">
        <f t="shared" si="49"/>
        <v>-794772.23071267956</v>
      </c>
      <c r="E86" s="242">
        <f t="shared" si="49"/>
        <v>0</v>
      </c>
      <c r="F86" s="242">
        <f t="shared" si="49"/>
        <v>0</v>
      </c>
      <c r="G86" s="242">
        <f t="shared" si="49"/>
        <v>0</v>
      </c>
      <c r="H86" s="242">
        <f t="shared" si="49"/>
        <v>0</v>
      </c>
      <c r="I86" s="242">
        <f t="shared" si="49"/>
        <v>-291.47999999999996</v>
      </c>
      <c r="J86" s="242">
        <f t="shared" ref="J86:K86" si="50">J84+J85</f>
        <v>-16695.520762050048</v>
      </c>
      <c r="K86" s="242">
        <f t="shared" si="50"/>
        <v>-583856.12321086565</v>
      </c>
      <c r="L86" s="242">
        <f t="shared" ref="L86" si="51">L84+L85</f>
        <v>-588025.29404745018</v>
      </c>
    </row>
    <row r="87" spans="1:12" ht="12.9" thickTop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3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3">
      <c r="A89" s="1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3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3">
      <c r="A91" s="13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</row>
    <row r="92" spans="1:12" x14ac:dyDescent="0.3">
      <c r="A92" s="240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METHODOLOGY
Capital Additions, Depreciation, &amp; Amortization - Rate Year 2 Adjustments (Tab 14)
PRO FORMA&amp;R&amp;12Page 14.0.&amp;P
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643-19CA-499A-90E1-DFF9442DD570}">
  <sheetPr>
    <pageSetUpPr fitToPage="1"/>
  </sheetPr>
  <dimension ref="A2:I92"/>
  <sheetViews>
    <sheetView showOutlineSymbols="0" workbookViewId="0"/>
  </sheetViews>
  <sheetFormatPr defaultColWidth="9.15234375" defaultRowHeight="12.45" x14ac:dyDescent="0.3"/>
  <cols>
    <col min="1" max="1" width="35.53515625" style="2" customWidth="1"/>
    <col min="2" max="8" width="17.23046875" style="2" bestFit="1" customWidth="1"/>
    <col min="9" max="9" width="15.15234375" style="2" customWidth="1"/>
    <col min="10" max="16384" width="9.15234375" style="2"/>
  </cols>
  <sheetData>
    <row r="2" spans="1:9" x14ac:dyDescent="0.3">
      <c r="A2" s="237"/>
    </row>
    <row r="3" spans="1:9" x14ac:dyDescent="0.3">
      <c r="A3" s="237"/>
    </row>
    <row r="4" spans="1:9" x14ac:dyDescent="0.3">
      <c r="A4" s="238"/>
    </row>
    <row r="5" spans="1:9" x14ac:dyDescent="0.3">
      <c r="A5" s="238"/>
    </row>
    <row r="6" spans="1:9" x14ac:dyDescent="0.3">
      <c r="A6" s="238"/>
      <c r="B6" s="4"/>
      <c r="C6" s="4"/>
      <c r="D6" s="4"/>
      <c r="E6" s="4"/>
      <c r="F6" s="4"/>
      <c r="G6" s="4"/>
      <c r="H6" s="4"/>
    </row>
    <row r="7" spans="1:9" x14ac:dyDescent="0.3">
      <c r="B7" s="54"/>
      <c r="C7" s="54" t="str">
        <f>'Pro Forma Adj'!P8</f>
        <v>15.1</v>
      </c>
      <c r="D7" s="54" t="str">
        <f>'Pro Forma Adj'!Q8</f>
        <v>15.2</v>
      </c>
      <c r="E7" s="54" t="str">
        <f>'Pro Forma Adj'!R8</f>
        <v>15.3</v>
      </c>
      <c r="F7" s="54" t="str">
        <f>'Pro Forma Adj'!S8</f>
        <v>15.4</v>
      </c>
      <c r="G7" s="54" t="str">
        <f>'Pro Forma Adj'!T8</f>
        <v>15.5</v>
      </c>
      <c r="H7" s="54" t="str">
        <f>'Pro Forma Adj'!U8</f>
        <v>15.6</v>
      </c>
      <c r="I7" s="54"/>
    </row>
    <row r="8" spans="1:9" s="13" customFormat="1" ht="81" customHeight="1" x14ac:dyDescent="0.3">
      <c r="B8" s="230" t="s">
        <v>226</v>
      </c>
      <c r="C8" s="230" t="str">
        <f>'Pro Forma Adj'!P9</f>
        <v>Interest True-Up - Year 2</v>
      </c>
      <c r="D8" s="230" t="str">
        <f>'Pro Forma Adj'!Q9</f>
        <v>Property Taxes - 
Year 2</v>
      </c>
      <c r="E8" s="230" t="str">
        <f>'Pro Forma Adj'!R9</f>
        <v>Removal of TCJA Balances Adjustment - Year 2</v>
      </c>
      <c r="F8" s="230" t="str">
        <f>'Pro Forma Adj'!S9</f>
        <v>PowerTax ADIT Balance Adjustment - Year 2</v>
      </c>
      <c r="G8" s="230" t="str">
        <f>'Pro Forma Adj'!T9</f>
        <v>Permanent Schedule M Adjustment - Year 2</v>
      </c>
      <c r="H8" s="230" t="str">
        <f>'Pro Forma Adj'!U9</f>
        <v>Remove Deferred State Tax Expense &amp; Balance - 
Year 2</v>
      </c>
      <c r="I8" s="230"/>
    </row>
    <row r="10" spans="1:9" x14ac:dyDescent="0.3">
      <c r="A10" s="13" t="s">
        <v>8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3">
      <c r="A11" s="13" t="s">
        <v>9</v>
      </c>
      <c r="B11" s="60">
        <f>SUM(C11:I11)</f>
        <v>0</v>
      </c>
      <c r="C11" s="60">
        <f>'Pro Forma Adj'!P12</f>
        <v>0</v>
      </c>
      <c r="D11" s="60">
        <f>'Pro Forma Adj'!Q12</f>
        <v>0</v>
      </c>
      <c r="E11" s="60">
        <f>'Pro Forma Adj'!R12</f>
        <v>0</v>
      </c>
      <c r="F11" s="60">
        <f>'Pro Forma Adj'!S12</f>
        <v>0</v>
      </c>
      <c r="G11" s="60">
        <f>'Pro Forma Adj'!T12</f>
        <v>0</v>
      </c>
      <c r="H11" s="60">
        <f>'Pro Forma Adj'!U12</f>
        <v>0</v>
      </c>
      <c r="I11" s="60"/>
    </row>
    <row r="12" spans="1:9" x14ac:dyDescent="0.3">
      <c r="A12" s="13" t="s">
        <v>10</v>
      </c>
      <c r="B12" s="60">
        <f>SUM(C12:I12)</f>
        <v>0</v>
      </c>
      <c r="C12" s="60">
        <f>'Pro Forma Adj'!P13</f>
        <v>0</v>
      </c>
      <c r="D12" s="60">
        <f>'Pro Forma Adj'!Q13</f>
        <v>0</v>
      </c>
      <c r="E12" s="60">
        <f>'Pro Forma Adj'!R13</f>
        <v>0</v>
      </c>
      <c r="F12" s="60">
        <f>'Pro Forma Adj'!S13</f>
        <v>0</v>
      </c>
      <c r="G12" s="60">
        <f>'Pro Forma Adj'!T13</f>
        <v>0</v>
      </c>
      <c r="H12" s="60">
        <f>'Pro Forma Adj'!U13</f>
        <v>0</v>
      </c>
      <c r="I12" s="60"/>
    </row>
    <row r="13" spans="1:9" x14ac:dyDescent="0.3">
      <c r="A13" s="13" t="s">
        <v>11</v>
      </c>
      <c r="B13" s="60">
        <f>SUM(C13:I13)</f>
        <v>0</v>
      </c>
      <c r="C13" s="60">
        <f>'Pro Forma Adj'!P14</f>
        <v>0</v>
      </c>
      <c r="D13" s="60">
        <f>'Pro Forma Adj'!Q14</f>
        <v>0</v>
      </c>
      <c r="E13" s="60">
        <f>'Pro Forma Adj'!R14</f>
        <v>0</v>
      </c>
      <c r="F13" s="60">
        <f>'Pro Forma Adj'!S14</f>
        <v>0</v>
      </c>
      <c r="G13" s="60">
        <f>'Pro Forma Adj'!T14</f>
        <v>0</v>
      </c>
      <c r="H13" s="60">
        <f>'Pro Forma Adj'!U14</f>
        <v>0</v>
      </c>
      <c r="I13" s="60"/>
    </row>
    <row r="14" spans="1:9" x14ac:dyDescent="0.3">
      <c r="A14" s="13" t="s">
        <v>12</v>
      </c>
      <c r="B14" s="60">
        <f>SUM(C14:I14)</f>
        <v>0</v>
      </c>
      <c r="C14" s="60">
        <f>'Pro Forma Adj'!P15</f>
        <v>0</v>
      </c>
      <c r="D14" s="60">
        <f>'Pro Forma Adj'!Q15</f>
        <v>0</v>
      </c>
      <c r="E14" s="60">
        <f>'Pro Forma Adj'!R15</f>
        <v>0</v>
      </c>
      <c r="F14" s="60">
        <f>'Pro Forma Adj'!S15</f>
        <v>0</v>
      </c>
      <c r="G14" s="60">
        <f>'Pro Forma Adj'!T15</f>
        <v>0</v>
      </c>
      <c r="H14" s="60">
        <f>'Pro Forma Adj'!U15</f>
        <v>0</v>
      </c>
      <c r="I14" s="60"/>
    </row>
    <row r="15" spans="1:9" x14ac:dyDescent="0.3">
      <c r="A15" s="13" t="s">
        <v>13</v>
      </c>
      <c r="B15" s="204">
        <f>SUM(C15:I15)</f>
        <v>0</v>
      </c>
      <c r="C15" s="204">
        <f t="shared" ref="C15:H15" si="0">SUM(C11:C14)</f>
        <v>0</v>
      </c>
      <c r="D15" s="204">
        <f t="shared" si="0"/>
        <v>0</v>
      </c>
      <c r="E15" s="204">
        <f t="shared" si="0"/>
        <v>0</v>
      </c>
      <c r="F15" s="204">
        <f t="shared" si="0"/>
        <v>0</v>
      </c>
      <c r="G15" s="204">
        <f t="shared" si="0"/>
        <v>0</v>
      </c>
      <c r="H15" s="204">
        <f t="shared" si="0"/>
        <v>0</v>
      </c>
      <c r="I15" s="12"/>
    </row>
    <row r="16" spans="1:9" x14ac:dyDescent="0.3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3">
      <c r="A17" s="13" t="s">
        <v>14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3">
      <c r="A18" s="13" t="s">
        <v>15</v>
      </c>
      <c r="B18" s="60">
        <f t="shared" ref="B18:B39" si="1">SUM(C18:I18)</f>
        <v>0</v>
      </c>
      <c r="C18" s="60">
        <f>'Pro Forma Adj'!P19</f>
        <v>0</v>
      </c>
      <c r="D18" s="60">
        <f>'Pro Forma Adj'!Q19</f>
        <v>0</v>
      </c>
      <c r="E18" s="60">
        <f>'Pro Forma Adj'!R19</f>
        <v>0</v>
      </c>
      <c r="F18" s="60">
        <f>'Pro Forma Adj'!S19</f>
        <v>0</v>
      </c>
      <c r="G18" s="60">
        <f>'Pro Forma Adj'!T19</f>
        <v>0</v>
      </c>
      <c r="H18" s="60">
        <f>'Pro Forma Adj'!U19</f>
        <v>0</v>
      </c>
      <c r="I18" s="60"/>
    </row>
    <row r="19" spans="1:9" x14ac:dyDescent="0.3">
      <c r="A19" s="13" t="s">
        <v>16</v>
      </c>
      <c r="B19" s="60">
        <f t="shared" si="1"/>
        <v>0</v>
      </c>
      <c r="C19" s="60">
        <f>'Pro Forma Adj'!P20</f>
        <v>0</v>
      </c>
      <c r="D19" s="60">
        <f>'Pro Forma Adj'!Q20</f>
        <v>0</v>
      </c>
      <c r="E19" s="60">
        <f>'Pro Forma Adj'!R20</f>
        <v>0</v>
      </c>
      <c r="F19" s="60">
        <f>'Pro Forma Adj'!S20</f>
        <v>0</v>
      </c>
      <c r="G19" s="60">
        <f>'Pro Forma Adj'!T20</f>
        <v>0</v>
      </c>
      <c r="H19" s="60">
        <f>'Pro Forma Adj'!U20</f>
        <v>0</v>
      </c>
      <c r="I19" s="60"/>
    </row>
    <row r="20" spans="1:9" x14ac:dyDescent="0.3">
      <c r="A20" s="13" t="s">
        <v>17</v>
      </c>
      <c r="B20" s="60">
        <f t="shared" si="1"/>
        <v>0</v>
      </c>
      <c r="C20" s="60">
        <f>'Pro Forma Adj'!P21</f>
        <v>0</v>
      </c>
      <c r="D20" s="60">
        <f>'Pro Forma Adj'!Q21</f>
        <v>0</v>
      </c>
      <c r="E20" s="60">
        <f>'Pro Forma Adj'!R21</f>
        <v>0</v>
      </c>
      <c r="F20" s="60">
        <f>'Pro Forma Adj'!S21</f>
        <v>0</v>
      </c>
      <c r="G20" s="60">
        <f>'Pro Forma Adj'!T21</f>
        <v>0</v>
      </c>
      <c r="H20" s="60">
        <f>'Pro Forma Adj'!U21</f>
        <v>0</v>
      </c>
      <c r="I20" s="60"/>
    </row>
    <row r="21" spans="1:9" x14ac:dyDescent="0.3">
      <c r="A21" s="13" t="s">
        <v>18</v>
      </c>
      <c r="B21" s="60">
        <f t="shared" si="1"/>
        <v>0</v>
      </c>
      <c r="C21" s="60">
        <f>'Pro Forma Adj'!P22</f>
        <v>0</v>
      </c>
      <c r="D21" s="60">
        <f>'Pro Forma Adj'!Q22</f>
        <v>0</v>
      </c>
      <c r="E21" s="60">
        <f>'Pro Forma Adj'!R22</f>
        <v>0</v>
      </c>
      <c r="F21" s="60">
        <f>'Pro Forma Adj'!S22</f>
        <v>0</v>
      </c>
      <c r="G21" s="60">
        <f>'Pro Forma Adj'!T22</f>
        <v>0</v>
      </c>
      <c r="H21" s="60">
        <f>'Pro Forma Adj'!U22</f>
        <v>0</v>
      </c>
      <c r="I21" s="60"/>
    </row>
    <row r="22" spans="1:9" x14ac:dyDescent="0.3">
      <c r="A22" s="13" t="s">
        <v>19</v>
      </c>
      <c r="B22" s="60">
        <f t="shared" si="1"/>
        <v>0</v>
      </c>
      <c r="C22" s="60">
        <f>'Pro Forma Adj'!P23</f>
        <v>0</v>
      </c>
      <c r="D22" s="60">
        <f>'Pro Forma Adj'!Q23</f>
        <v>0</v>
      </c>
      <c r="E22" s="60">
        <f>'Pro Forma Adj'!R23</f>
        <v>0</v>
      </c>
      <c r="F22" s="60">
        <f>'Pro Forma Adj'!S23</f>
        <v>0</v>
      </c>
      <c r="G22" s="60">
        <f>'Pro Forma Adj'!T23</f>
        <v>0</v>
      </c>
      <c r="H22" s="60">
        <f>'Pro Forma Adj'!U23</f>
        <v>0</v>
      </c>
      <c r="I22" s="60"/>
    </row>
    <row r="23" spans="1:9" x14ac:dyDescent="0.3">
      <c r="A23" s="13" t="s">
        <v>20</v>
      </c>
      <c r="B23" s="60">
        <f t="shared" si="1"/>
        <v>0</v>
      </c>
      <c r="C23" s="60">
        <f>'Pro Forma Adj'!P24</f>
        <v>0</v>
      </c>
      <c r="D23" s="60">
        <f>'Pro Forma Adj'!Q24</f>
        <v>0</v>
      </c>
      <c r="E23" s="60">
        <f>'Pro Forma Adj'!R24</f>
        <v>0</v>
      </c>
      <c r="F23" s="60">
        <f>'Pro Forma Adj'!S24</f>
        <v>0</v>
      </c>
      <c r="G23" s="60">
        <f>'Pro Forma Adj'!T24</f>
        <v>0</v>
      </c>
      <c r="H23" s="60">
        <f>'Pro Forma Adj'!U24</f>
        <v>0</v>
      </c>
      <c r="I23" s="60"/>
    </row>
    <row r="24" spans="1:9" x14ac:dyDescent="0.3">
      <c r="A24" s="13" t="s">
        <v>21</v>
      </c>
      <c r="B24" s="60">
        <f t="shared" si="1"/>
        <v>0</v>
      </c>
      <c r="C24" s="60">
        <f>'Pro Forma Adj'!P25</f>
        <v>0</v>
      </c>
      <c r="D24" s="60">
        <f>'Pro Forma Adj'!Q25</f>
        <v>0</v>
      </c>
      <c r="E24" s="60">
        <f>'Pro Forma Adj'!R25</f>
        <v>0</v>
      </c>
      <c r="F24" s="60">
        <f>'Pro Forma Adj'!S25</f>
        <v>0</v>
      </c>
      <c r="G24" s="60">
        <f>'Pro Forma Adj'!T25</f>
        <v>0</v>
      </c>
      <c r="H24" s="60">
        <f>'Pro Forma Adj'!U25</f>
        <v>0</v>
      </c>
      <c r="I24" s="60"/>
    </row>
    <row r="25" spans="1:9" x14ac:dyDescent="0.3">
      <c r="A25" s="13" t="s">
        <v>22</v>
      </c>
      <c r="B25" s="60">
        <f t="shared" si="1"/>
        <v>0</v>
      </c>
      <c r="C25" s="60">
        <f>'Pro Forma Adj'!P26</f>
        <v>0</v>
      </c>
      <c r="D25" s="60">
        <f>'Pro Forma Adj'!Q26</f>
        <v>0</v>
      </c>
      <c r="E25" s="60">
        <f>'Pro Forma Adj'!R26</f>
        <v>0</v>
      </c>
      <c r="F25" s="60">
        <f>'Pro Forma Adj'!S26</f>
        <v>0</v>
      </c>
      <c r="G25" s="60">
        <f>'Pro Forma Adj'!T26</f>
        <v>0</v>
      </c>
      <c r="H25" s="60">
        <f>'Pro Forma Adj'!U26</f>
        <v>0</v>
      </c>
      <c r="I25" s="60"/>
    </row>
    <row r="26" spans="1:9" x14ac:dyDescent="0.3">
      <c r="A26" s="13" t="s">
        <v>23</v>
      </c>
      <c r="B26" s="60">
        <f t="shared" si="1"/>
        <v>0</v>
      </c>
      <c r="C26" s="60">
        <f>'Pro Forma Adj'!P27</f>
        <v>0</v>
      </c>
      <c r="D26" s="60">
        <f>'Pro Forma Adj'!Q27</f>
        <v>0</v>
      </c>
      <c r="E26" s="60">
        <f>'Pro Forma Adj'!R27</f>
        <v>0</v>
      </c>
      <c r="F26" s="60">
        <f>'Pro Forma Adj'!S27</f>
        <v>0</v>
      </c>
      <c r="G26" s="60">
        <f>'Pro Forma Adj'!T27</f>
        <v>0</v>
      </c>
      <c r="H26" s="60">
        <f>'Pro Forma Adj'!U27</f>
        <v>0</v>
      </c>
      <c r="I26" s="60"/>
    </row>
    <row r="27" spans="1:9" x14ac:dyDescent="0.3">
      <c r="A27" s="13" t="s">
        <v>24</v>
      </c>
      <c r="B27" s="63">
        <f t="shared" si="1"/>
        <v>0</v>
      </c>
      <c r="C27" s="63">
        <f>'Pro Forma Adj'!P28</f>
        <v>0</v>
      </c>
      <c r="D27" s="63">
        <f>'Pro Forma Adj'!Q28</f>
        <v>0</v>
      </c>
      <c r="E27" s="63">
        <f>'Pro Forma Adj'!R28</f>
        <v>0</v>
      </c>
      <c r="F27" s="63">
        <f>'Pro Forma Adj'!S28</f>
        <v>0</v>
      </c>
      <c r="G27" s="63">
        <f>'Pro Forma Adj'!T28</f>
        <v>0</v>
      </c>
      <c r="H27" s="63">
        <f>'Pro Forma Adj'!U28</f>
        <v>0</v>
      </c>
      <c r="I27" s="60"/>
    </row>
    <row r="28" spans="1:9" x14ac:dyDescent="0.3">
      <c r="A28" s="13" t="s">
        <v>25</v>
      </c>
      <c r="B28" s="12">
        <f t="shared" si="1"/>
        <v>0</v>
      </c>
      <c r="C28" s="12">
        <f t="shared" ref="C28:H28" si="2">SUM(C18:C27)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/>
    </row>
    <row r="29" spans="1:9" x14ac:dyDescent="0.3">
      <c r="A29" s="13" t="s">
        <v>26</v>
      </c>
      <c r="B29" s="60">
        <f t="shared" si="1"/>
        <v>0</v>
      </c>
      <c r="C29" s="60">
        <f>'Pro Forma Adj'!P30</f>
        <v>0</v>
      </c>
      <c r="D29" s="60">
        <f>'Pro Forma Adj'!Q30</f>
        <v>0</v>
      </c>
      <c r="E29" s="60">
        <f>'Pro Forma Adj'!R30</f>
        <v>0</v>
      </c>
      <c r="F29" s="60">
        <f>'Pro Forma Adj'!S30</f>
        <v>0</v>
      </c>
      <c r="G29" s="60">
        <f>'Pro Forma Adj'!T30</f>
        <v>0</v>
      </c>
      <c r="H29" s="60">
        <f>'Pro Forma Adj'!U30</f>
        <v>0</v>
      </c>
      <c r="I29" s="60"/>
    </row>
    <row r="30" spans="1:9" x14ac:dyDescent="0.3">
      <c r="A30" s="13" t="s">
        <v>27</v>
      </c>
      <c r="B30" s="60">
        <f t="shared" si="1"/>
        <v>0</v>
      </c>
      <c r="C30" s="60">
        <f>'Pro Forma Adj'!P31</f>
        <v>0</v>
      </c>
      <c r="D30" s="60">
        <f>'Pro Forma Adj'!Q31</f>
        <v>0</v>
      </c>
      <c r="E30" s="60">
        <f>'Pro Forma Adj'!R31</f>
        <v>0</v>
      </c>
      <c r="F30" s="60">
        <f>'Pro Forma Adj'!S31</f>
        <v>0</v>
      </c>
      <c r="G30" s="60">
        <f>'Pro Forma Adj'!T31</f>
        <v>0</v>
      </c>
      <c r="H30" s="60">
        <f>'Pro Forma Adj'!U31</f>
        <v>0</v>
      </c>
      <c r="I30" s="60"/>
    </row>
    <row r="31" spans="1:9" x14ac:dyDescent="0.3">
      <c r="A31" s="13" t="s">
        <v>28</v>
      </c>
      <c r="B31" s="60">
        <f t="shared" si="1"/>
        <v>1882727</v>
      </c>
      <c r="C31" s="60">
        <f>'Pro Forma Adj'!P32</f>
        <v>0</v>
      </c>
      <c r="D31" s="60">
        <f>'Pro Forma Adj'!Q32</f>
        <v>1882727</v>
      </c>
      <c r="E31" s="60">
        <f>'Pro Forma Adj'!R32</f>
        <v>0</v>
      </c>
      <c r="F31" s="60">
        <f>'Pro Forma Adj'!S32</f>
        <v>0</v>
      </c>
      <c r="G31" s="60">
        <f>'Pro Forma Adj'!T32</f>
        <v>0</v>
      </c>
      <c r="H31" s="60">
        <f>'Pro Forma Adj'!U32</f>
        <v>0</v>
      </c>
      <c r="I31" s="60"/>
    </row>
    <row r="32" spans="1:9" x14ac:dyDescent="0.3">
      <c r="A32" s="13" t="s">
        <v>29</v>
      </c>
      <c r="B32" s="60">
        <f t="shared" si="1"/>
        <v>-3128225.589828494</v>
      </c>
      <c r="C32" s="60">
        <f t="shared" ref="C32:H32" si="3">C86</f>
        <v>-1300946.4058537639</v>
      </c>
      <c r="D32" s="60">
        <f t="shared" si="3"/>
        <v>-395372.67</v>
      </c>
      <c r="E32" s="60">
        <f t="shared" si="3"/>
        <v>0</v>
      </c>
      <c r="F32" s="60">
        <f t="shared" si="3"/>
        <v>-1431906.5139747304</v>
      </c>
      <c r="G32" s="60">
        <f t="shared" si="3"/>
        <v>0</v>
      </c>
      <c r="H32" s="60">
        <f t="shared" si="3"/>
        <v>0</v>
      </c>
      <c r="I32" s="60"/>
    </row>
    <row r="33" spans="1:9" x14ac:dyDescent="0.3">
      <c r="A33" s="13" t="s">
        <v>30</v>
      </c>
      <c r="B33" s="58">
        <f t="shared" si="1"/>
        <v>0</v>
      </c>
      <c r="C33" s="58">
        <v>0</v>
      </c>
      <c r="D33" s="58">
        <v>0</v>
      </c>
      <c r="E33" s="58">
        <v>0</v>
      </c>
      <c r="F33" s="58">
        <v>0</v>
      </c>
      <c r="G33" s="58">
        <f>SUM('[3]15.5'!$I$15:$I$17)</f>
        <v>0</v>
      </c>
      <c r="H33" s="58">
        <v>0</v>
      </c>
      <c r="I33" s="58"/>
    </row>
    <row r="34" spans="1:9" x14ac:dyDescent="0.3">
      <c r="A34" s="13" t="s">
        <v>31</v>
      </c>
      <c r="B34" s="60">
        <f t="shared" si="1"/>
        <v>1811582.261743499</v>
      </c>
      <c r="C34" s="60">
        <f>'Pro Forma Adj'!P35</f>
        <v>0</v>
      </c>
      <c r="D34" s="60">
        <f>'Pro Forma Adj'!Q35</f>
        <v>0</v>
      </c>
      <c r="E34" s="60">
        <f>'Pro Forma Adj'!R35</f>
        <v>0</v>
      </c>
      <c r="F34" s="60">
        <f>'Pro Forma Adj'!S35</f>
        <v>2329246.261743499</v>
      </c>
      <c r="G34" s="60">
        <f>'Pro Forma Adj'!T35</f>
        <v>0</v>
      </c>
      <c r="H34" s="60">
        <f>'Pro Forma Adj'!U35</f>
        <v>-517664</v>
      </c>
      <c r="I34" s="60"/>
    </row>
    <row r="35" spans="1:9" x14ac:dyDescent="0.3">
      <c r="A35" s="13" t="s">
        <v>32</v>
      </c>
      <c r="B35" s="60">
        <f t="shared" si="1"/>
        <v>0</v>
      </c>
      <c r="C35" s="60">
        <f>'Pro Forma Adj'!P36</f>
        <v>0</v>
      </c>
      <c r="D35" s="60">
        <f>'Pro Forma Adj'!Q36</f>
        <v>0</v>
      </c>
      <c r="E35" s="60">
        <f>'Pro Forma Adj'!R36</f>
        <v>0</v>
      </c>
      <c r="F35" s="60">
        <f>'Pro Forma Adj'!S36</f>
        <v>0</v>
      </c>
      <c r="G35" s="60">
        <f>'Pro Forma Adj'!T36</f>
        <v>0</v>
      </c>
      <c r="H35" s="60">
        <f>'Pro Forma Adj'!U36</f>
        <v>0</v>
      </c>
      <c r="I35" s="60"/>
    </row>
    <row r="36" spans="1:9" x14ac:dyDescent="0.3">
      <c r="A36" s="13" t="s">
        <v>33</v>
      </c>
      <c r="B36" s="60">
        <f t="shared" si="1"/>
        <v>0</v>
      </c>
      <c r="C36" s="60">
        <f>'Pro Forma Adj'!P37</f>
        <v>0</v>
      </c>
      <c r="D36" s="60">
        <f>'Pro Forma Adj'!Q37</f>
        <v>0</v>
      </c>
      <c r="E36" s="60">
        <f>'Pro Forma Adj'!R37</f>
        <v>0</v>
      </c>
      <c r="F36" s="60">
        <f>'Pro Forma Adj'!S37</f>
        <v>0</v>
      </c>
      <c r="G36" s="60">
        <f>'Pro Forma Adj'!T37</f>
        <v>0</v>
      </c>
      <c r="H36" s="60">
        <f>'Pro Forma Adj'!U37</f>
        <v>0</v>
      </c>
      <c r="I36" s="60"/>
    </row>
    <row r="37" spans="1:9" x14ac:dyDescent="0.3">
      <c r="A37" s="13" t="s">
        <v>34</v>
      </c>
      <c r="B37" s="204">
        <f t="shared" si="1"/>
        <v>566083.67191500473</v>
      </c>
      <c r="C37" s="204">
        <f t="shared" ref="C37:H37" si="4">SUM(C28:C36)</f>
        <v>-1300946.4058537639</v>
      </c>
      <c r="D37" s="204">
        <f t="shared" si="4"/>
        <v>1487354.33</v>
      </c>
      <c r="E37" s="204">
        <f t="shared" si="4"/>
        <v>0</v>
      </c>
      <c r="F37" s="204">
        <f t="shared" si="4"/>
        <v>897339.74776876858</v>
      </c>
      <c r="G37" s="204">
        <f t="shared" si="4"/>
        <v>0</v>
      </c>
      <c r="H37" s="204">
        <f t="shared" si="4"/>
        <v>-517664</v>
      </c>
      <c r="I37" s="12"/>
    </row>
    <row r="38" spans="1:9" x14ac:dyDescent="0.3">
      <c r="A38" s="13"/>
      <c r="B38" s="12">
        <f t="shared" si="1"/>
        <v>0</v>
      </c>
      <c r="C38" s="12"/>
      <c r="D38" s="12"/>
      <c r="E38" s="12"/>
      <c r="F38" s="12"/>
      <c r="G38" s="12"/>
      <c r="H38" s="12"/>
      <c r="I38" s="12"/>
    </row>
    <row r="39" spans="1:9" ht="12.9" thickBot="1" x14ac:dyDescent="0.35">
      <c r="A39" s="13" t="s">
        <v>35</v>
      </c>
      <c r="B39" s="208">
        <f t="shared" si="1"/>
        <v>-566083.67191500473</v>
      </c>
      <c r="C39" s="208">
        <f t="shared" ref="C39:H39" si="5">C15-C37</f>
        <v>1300946.4058537639</v>
      </c>
      <c r="D39" s="208">
        <f t="shared" si="5"/>
        <v>-1487354.33</v>
      </c>
      <c r="E39" s="208">
        <f t="shared" si="5"/>
        <v>0</v>
      </c>
      <c r="F39" s="208">
        <f t="shared" si="5"/>
        <v>-897339.74776876858</v>
      </c>
      <c r="G39" s="208">
        <f t="shared" si="5"/>
        <v>0</v>
      </c>
      <c r="H39" s="208">
        <f t="shared" si="5"/>
        <v>517664</v>
      </c>
      <c r="I39" s="222"/>
    </row>
    <row r="40" spans="1:9" ht="12.9" thickTop="1" x14ac:dyDescent="0.3">
      <c r="A40" s="13"/>
      <c r="B40" s="12"/>
      <c r="C40" s="12"/>
      <c r="D40" s="12"/>
      <c r="E40" s="12"/>
      <c r="F40" s="12"/>
      <c r="G40" s="12"/>
      <c r="H40" s="12"/>
      <c r="I40" s="12"/>
    </row>
    <row r="41" spans="1:9" x14ac:dyDescent="0.3">
      <c r="A41" s="13" t="s">
        <v>36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3">
      <c r="A42" s="13" t="s">
        <v>37</v>
      </c>
      <c r="B42" s="60">
        <f t="shared" ref="B42:B53" si="6">SUM(C42:I42)</f>
        <v>0</v>
      </c>
      <c r="C42" s="60">
        <f>'Pro Forma Adj'!P43</f>
        <v>0</v>
      </c>
      <c r="D42" s="60">
        <f>'Pro Forma Adj'!Q43</f>
        <v>0</v>
      </c>
      <c r="E42" s="60">
        <f>'Pro Forma Adj'!R43</f>
        <v>0</v>
      </c>
      <c r="F42" s="60">
        <f>'Pro Forma Adj'!S43</f>
        <v>0</v>
      </c>
      <c r="G42" s="60">
        <f>'Pro Forma Adj'!T43</f>
        <v>0</v>
      </c>
      <c r="H42" s="60">
        <f>'Pro Forma Adj'!U43</f>
        <v>0</v>
      </c>
      <c r="I42" s="60"/>
    </row>
    <row r="43" spans="1:9" x14ac:dyDescent="0.3">
      <c r="A43" s="13" t="s">
        <v>38</v>
      </c>
      <c r="B43" s="60">
        <f t="shared" si="6"/>
        <v>0</v>
      </c>
      <c r="C43" s="60">
        <f>'Pro Forma Adj'!P44</f>
        <v>0</v>
      </c>
      <c r="D43" s="60">
        <f>'Pro Forma Adj'!Q44</f>
        <v>0</v>
      </c>
      <c r="E43" s="60">
        <f>'Pro Forma Adj'!R44</f>
        <v>0</v>
      </c>
      <c r="F43" s="60">
        <f>'Pro Forma Adj'!S44</f>
        <v>0</v>
      </c>
      <c r="G43" s="60">
        <f>'Pro Forma Adj'!T44</f>
        <v>0</v>
      </c>
      <c r="H43" s="60">
        <f>'Pro Forma Adj'!U44</f>
        <v>0</v>
      </c>
      <c r="I43" s="60"/>
    </row>
    <row r="44" spans="1:9" x14ac:dyDescent="0.3">
      <c r="A44" s="13" t="s">
        <v>39</v>
      </c>
      <c r="B44" s="60">
        <f t="shared" si="6"/>
        <v>0</v>
      </c>
      <c r="C44" s="60">
        <f>'Pro Forma Adj'!P45</f>
        <v>0</v>
      </c>
      <c r="D44" s="60">
        <f>'Pro Forma Adj'!Q45</f>
        <v>0</v>
      </c>
      <c r="E44" s="60">
        <f>'Pro Forma Adj'!R45</f>
        <v>0</v>
      </c>
      <c r="F44" s="60">
        <f>'Pro Forma Adj'!S45</f>
        <v>0</v>
      </c>
      <c r="G44" s="60">
        <f>'Pro Forma Adj'!T45</f>
        <v>0</v>
      </c>
      <c r="H44" s="60">
        <f>'Pro Forma Adj'!U45</f>
        <v>0</v>
      </c>
      <c r="I44" s="60"/>
    </row>
    <row r="45" spans="1:9" x14ac:dyDescent="0.3">
      <c r="A45" s="13" t="s">
        <v>40</v>
      </c>
      <c r="B45" s="60">
        <f t="shared" si="6"/>
        <v>0</v>
      </c>
      <c r="C45" s="60">
        <f>'Pro Forma Adj'!P46</f>
        <v>0</v>
      </c>
      <c r="D45" s="60">
        <f>'Pro Forma Adj'!Q46</f>
        <v>0</v>
      </c>
      <c r="E45" s="60">
        <f>'Pro Forma Adj'!R46</f>
        <v>0</v>
      </c>
      <c r="F45" s="60">
        <f>'Pro Forma Adj'!S46</f>
        <v>0</v>
      </c>
      <c r="G45" s="60">
        <f>'Pro Forma Adj'!T46</f>
        <v>0</v>
      </c>
      <c r="H45" s="60">
        <f>'Pro Forma Adj'!U46</f>
        <v>0</v>
      </c>
      <c r="I45" s="60"/>
    </row>
    <row r="46" spans="1:9" x14ac:dyDescent="0.3">
      <c r="A46" s="13" t="s">
        <v>41</v>
      </c>
      <c r="B46" s="60">
        <f t="shared" si="6"/>
        <v>0</v>
      </c>
      <c r="C46" s="60">
        <f>'Pro Forma Adj'!P47</f>
        <v>0</v>
      </c>
      <c r="D46" s="60">
        <f>'Pro Forma Adj'!Q47</f>
        <v>0</v>
      </c>
      <c r="E46" s="60">
        <f>'Pro Forma Adj'!R47</f>
        <v>0</v>
      </c>
      <c r="F46" s="60">
        <f>'Pro Forma Adj'!S47</f>
        <v>0</v>
      </c>
      <c r="G46" s="60">
        <f>'Pro Forma Adj'!T47</f>
        <v>0</v>
      </c>
      <c r="H46" s="60">
        <f>'Pro Forma Adj'!U47</f>
        <v>0</v>
      </c>
      <c r="I46" s="60"/>
    </row>
    <row r="47" spans="1:9" x14ac:dyDescent="0.3">
      <c r="A47" s="13" t="s">
        <v>42</v>
      </c>
      <c r="B47" s="60">
        <f t="shared" si="6"/>
        <v>0</v>
      </c>
      <c r="C47" s="60">
        <f>'Pro Forma Adj'!P48</f>
        <v>0</v>
      </c>
      <c r="D47" s="60">
        <f>'Pro Forma Adj'!Q48</f>
        <v>0</v>
      </c>
      <c r="E47" s="60">
        <f>'Pro Forma Adj'!R48</f>
        <v>0</v>
      </c>
      <c r="F47" s="60">
        <f>'Pro Forma Adj'!S48</f>
        <v>0</v>
      </c>
      <c r="G47" s="60">
        <f>'Pro Forma Adj'!T48</f>
        <v>0</v>
      </c>
      <c r="H47" s="60">
        <f>'Pro Forma Adj'!U48</f>
        <v>0</v>
      </c>
      <c r="I47" s="60"/>
    </row>
    <row r="48" spans="1:9" x14ac:dyDescent="0.3">
      <c r="A48" s="13" t="s">
        <v>43</v>
      </c>
      <c r="B48" s="60">
        <f t="shared" si="6"/>
        <v>0</v>
      </c>
      <c r="C48" s="60">
        <f>'Pro Forma Adj'!P49</f>
        <v>0</v>
      </c>
      <c r="D48" s="60">
        <f>'Pro Forma Adj'!Q49</f>
        <v>0</v>
      </c>
      <c r="E48" s="60">
        <f>'Pro Forma Adj'!R49</f>
        <v>0</v>
      </c>
      <c r="F48" s="60">
        <f>'Pro Forma Adj'!S49</f>
        <v>0</v>
      </c>
      <c r="G48" s="60">
        <f>'Pro Forma Adj'!T49</f>
        <v>0</v>
      </c>
      <c r="H48" s="60">
        <f>'Pro Forma Adj'!U49</f>
        <v>0</v>
      </c>
      <c r="I48" s="60"/>
    </row>
    <row r="49" spans="1:9" x14ac:dyDescent="0.3">
      <c r="A49" s="13" t="s">
        <v>44</v>
      </c>
      <c r="B49" s="60">
        <f t="shared" si="6"/>
        <v>0</v>
      </c>
      <c r="C49" s="60">
        <f>'Pro Forma Adj'!P50</f>
        <v>0</v>
      </c>
      <c r="D49" s="60">
        <f>'Pro Forma Adj'!Q50</f>
        <v>0</v>
      </c>
      <c r="E49" s="60">
        <f>'Pro Forma Adj'!R50</f>
        <v>0</v>
      </c>
      <c r="F49" s="60">
        <f>'Pro Forma Adj'!S50</f>
        <v>0</v>
      </c>
      <c r="G49" s="60">
        <f>'Pro Forma Adj'!T50</f>
        <v>0</v>
      </c>
      <c r="H49" s="60">
        <f>'Pro Forma Adj'!U50</f>
        <v>0</v>
      </c>
      <c r="I49" s="60"/>
    </row>
    <row r="50" spans="1:9" x14ac:dyDescent="0.3">
      <c r="A50" s="13" t="s">
        <v>45</v>
      </c>
      <c r="B50" s="60">
        <f t="shared" si="6"/>
        <v>0</v>
      </c>
      <c r="C50" s="60">
        <f>'Pro Forma Adj'!P51</f>
        <v>0</v>
      </c>
      <c r="D50" s="60">
        <f>'Pro Forma Adj'!Q51</f>
        <v>0</v>
      </c>
      <c r="E50" s="60">
        <f>'Pro Forma Adj'!R51</f>
        <v>0</v>
      </c>
      <c r="F50" s="60">
        <f>'Pro Forma Adj'!S51</f>
        <v>0</v>
      </c>
      <c r="G50" s="60">
        <f>'Pro Forma Adj'!T51</f>
        <v>0</v>
      </c>
      <c r="H50" s="60">
        <f>'Pro Forma Adj'!U51</f>
        <v>0</v>
      </c>
      <c r="I50" s="60"/>
    </row>
    <row r="51" spans="1:9" x14ac:dyDescent="0.3">
      <c r="A51" s="13" t="s">
        <v>46</v>
      </c>
      <c r="B51" s="60">
        <f t="shared" si="6"/>
        <v>0</v>
      </c>
      <c r="C51" s="60">
        <f>'Pro Forma Adj'!P52</f>
        <v>0</v>
      </c>
      <c r="D51" s="60">
        <f>'Pro Forma Adj'!Q52</f>
        <v>0</v>
      </c>
      <c r="E51" s="60">
        <f>'Pro Forma Adj'!R52</f>
        <v>0</v>
      </c>
      <c r="F51" s="60">
        <f>'Pro Forma Adj'!S52</f>
        <v>0</v>
      </c>
      <c r="G51" s="60">
        <f>'Pro Forma Adj'!T52</f>
        <v>0</v>
      </c>
      <c r="H51" s="60">
        <f>'Pro Forma Adj'!U52</f>
        <v>0</v>
      </c>
      <c r="I51" s="60"/>
    </row>
    <row r="52" spans="1:9" x14ac:dyDescent="0.3">
      <c r="A52" s="13" t="s">
        <v>47</v>
      </c>
      <c r="B52" s="60">
        <f t="shared" si="6"/>
        <v>0</v>
      </c>
      <c r="C52" s="60">
        <f>'Pro Forma Adj'!P53</f>
        <v>0</v>
      </c>
      <c r="D52" s="60">
        <f>'Pro Forma Adj'!Q53</f>
        <v>0</v>
      </c>
      <c r="E52" s="60">
        <f>'Pro Forma Adj'!R53</f>
        <v>0</v>
      </c>
      <c r="F52" s="60">
        <f>'Pro Forma Adj'!S53</f>
        <v>0</v>
      </c>
      <c r="G52" s="60">
        <f>'Pro Forma Adj'!T53</f>
        <v>0</v>
      </c>
      <c r="H52" s="60">
        <f>'Pro Forma Adj'!U53</f>
        <v>0</v>
      </c>
      <c r="I52" s="60"/>
    </row>
    <row r="53" spans="1:9" x14ac:dyDescent="0.3">
      <c r="A53" s="13" t="s">
        <v>48</v>
      </c>
      <c r="B53" s="211">
        <f t="shared" si="6"/>
        <v>0</v>
      </c>
      <c r="C53" s="211">
        <f t="shared" ref="C53:H53" si="7">SUM(C42:C52)</f>
        <v>0</v>
      </c>
      <c r="D53" s="211">
        <f t="shared" si="7"/>
        <v>0</v>
      </c>
      <c r="E53" s="211">
        <f t="shared" si="7"/>
        <v>0</v>
      </c>
      <c r="F53" s="211">
        <f t="shared" si="7"/>
        <v>0</v>
      </c>
      <c r="G53" s="211">
        <f t="shared" si="7"/>
        <v>0</v>
      </c>
      <c r="H53" s="211">
        <f t="shared" si="7"/>
        <v>0</v>
      </c>
      <c r="I53" s="58"/>
    </row>
    <row r="54" spans="1:9" x14ac:dyDescent="0.3">
      <c r="A54" s="13"/>
      <c r="B54" s="12"/>
      <c r="C54" s="12"/>
      <c r="D54" s="12"/>
      <c r="E54" s="12"/>
      <c r="F54" s="12"/>
      <c r="G54" s="12"/>
      <c r="H54" s="12"/>
      <c r="I54" s="12"/>
    </row>
    <row r="55" spans="1:9" x14ac:dyDescent="0.3">
      <c r="A55" s="13" t="s">
        <v>49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3">
      <c r="A56" s="13" t="s">
        <v>50</v>
      </c>
      <c r="B56" s="60">
        <f t="shared" ref="B56:B64" si="8">SUM(C56:I56)</f>
        <v>0</v>
      </c>
      <c r="C56" s="60">
        <f>'Pro Forma Adj'!P57</f>
        <v>0</v>
      </c>
      <c r="D56" s="60">
        <f>'Pro Forma Adj'!Q57</f>
        <v>0</v>
      </c>
      <c r="E56" s="60">
        <f>'Pro Forma Adj'!R57</f>
        <v>0</v>
      </c>
      <c r="F56" s="60">
        <f>'Pro Forma Adj'!S57</f>
        <v>0</v>
      </c>
      <c r="G56" s="60">
        <f>'Pro Forma Adj'!T57</f>
        <v>0</v>
      </c>
      <c r="H56" s="60">
        <f>'Pro Forma Adj'!U57</f>
        <v>0</v>
      </c>
      <c r="I56" s="60"/>
    </row>
    <row r="57" spans="1:9" x14ac:dyDescent="0.3">
      <c r="A57" s="13" t="s">
        <v>51</v>
      </c>
      <c r="B57" s="60">
        <f t="shared" si="8"/>
        <v>0</v>
      </c>
      <c r="C57" s="60">
        <f>'Pro Forma Adj'!P58</f>
        <v>0</v>
      </c>
      <c r="D57" s="60">
        <f>'Pro Forma Adj'!Q58</f>
        <v>0</v>
      </c>
      <c r="E57" s="60">
        <f>'Pro Forma Adj'!R58</f>
        <v>0</v>
      </c>
      <c r="F57" s="60">
        <f>'Pro Forma Adj'!S58</f>
        <v>0</v>
      </c>
      <c r="G57" s="60">
        <f>'Pro Forma Adj'!T58</f>
        <v>0</v>
      </c>
      <c r="H57" s="60">
        <f>'Pro Forma Adj'!U58</f>
        <v>0</v>
      </c>
      <c r="I57" s="60"/>
    </row>
    <row r="58" spans="1:9" x14ac:dyDescent="0.3">
      <c r="A58" s="13" t="s">
        <v>52</v>
      </c>
      <c r="B58" s="60">
        <f t="shared" si="8"/>
        <v>-21538851.557278231</v>
      </c>
      <c r="C58" s="60">
        <f>'Pro Forma Adj'!P59</f>
        <v>0</v>
      </c>
      <c r="D58" s="60">
        <f>'Pro Forma Adj'!Q59</f>
        <v>0</v>
      </c>
      <c r="E58" s="60">
        <f>'Pro Forma Adj'!R59</f>
        <v>-595243.43684617733</v>
      </c>
      <c r="F58" s="60">
        <f>'Pro Forma Adj'!S59</f>
        <v>-24209006.120432053</v>
      </c>
      <c r="G58" s="60">
        <f>'Pro Forma Adj'!T59</f>
        <v>0</v>
      </c>
      <c r="H58" s="60">
        <f>'Pro Forma Adj'!U59</f>
        <v>3265398</v>
      </c>
      <c r="I58" s="60"/>
    </row>
    <row r="59" spans="1:9" x14ac:dyDescent="0.3">
      <c r="A59" s="13" t="s">
        <v>53</v>
      </c>
      <c r="B59" s="60">
        <f t="shared" si="8"/>
        <v>0</v>
      </c>
      <c r="C59" s="60">
        <f>'Pro Forma Adj'!P60</f>
        <v>0</v>
      </c>
      <c r="D59" s="60">
        <f>'Pro Forma Adj'!Q60</f>
        <v>0</v>
      </c>
      <c r="E59" s="60">
        <f>'Pro Forma Adj'!R60</f>
        <v>0</v>
      </c>
      <c r="F59" s="60">
        <f>'Pro Forma Adj'!S60</f>
        <v>0</v>
      </c>
      <c r="G59" s="60">
        <f>'Pro Forma Adj'!T60</f>
        <v>0</v>
      </c>
      <c r="H59" s="60">
        <f>'Pro Forma Adj'!U60</f>
        <v>0</v>
      </c>
      <c r="I59" s="60"/>
    </row>
    <row r="60" spans="1:9" x14ac:dyDescent="0.3">
      <c r="A60" s="13" t="s">
        <v>54</v>
      </c>
      <c r="B60" s="60">
        <f t="shared" si="8"/>
        <v>0</v>
      </c>
      <c r="C60" s="60">
        <f>'Pro Forma Adj'!P61</f>
        <v>0</v>
      </c>
      <c r="D60" s="60">
        <f>'Pro Forma Adj'!Q61</f>
        <v>0</v>
      </c>
      <c r="E60" s="60">
        <f>'Pro Forma Adj'!R61</f>
        <v>0</v>
      </c>
      <c r="F60" s="60">
        <f>'Pro Forma Adj'!S61</f>
        <v>0</v>
      </c>
      <c r="G60" s="60">
        <f>'Pro Forma Adj'!T61</f>
        <v>0</v>
      </c>
      <c r="H60" s="60">
        <f>'Pro Forma Adj'!U61</f>
        <v>0</v>
      </c>
      <c r="I60" s="60"/>
    </row>
    <row r="61" spans="1:9" x14ac:dyDescent="0.3">
      <c r="A61" s="13" t="s">
        <v>55</v>
      </c>
      <c r="B61" s="60">
        <f t="shared" si="8"/>
        <v>0</v>
      </c>
      <c r="C61" s="60">
        <f>'Pro Forma Adj'!P62</f>
        <v>0</v>
      </c>
      <c r="D61" s="60">
        <f>'Pro Forma Adj'!Q62</f>
        <v>0</v>
      </c>
      <c r="E61" s="60">
        <f>'Pro Forma Adj'!R62</f>
        <v>0</v>
      </c>
      <c r="F61" s="60">
        <f>'Pro Forma Adj'!S62</f>
        <v>0</v>
      </c>
      <c r="G61" s="60">
        <f>'Pro Forma Adj'!T62</f>
        <v>0</v>
      </c>
      <c r="H61" s="60">
        <f>'Pro Forma Adj'!U62</f>
        <v>0</v>
      </c>
      <c r="I61" s="60"/>
    </row>
    <row r="62" spans="1:9" x14ac:dyDescent="0.3">
      <c r="A62" s="13" t="s">
        <v>56</v>
      </c>
      <c r="B62" s="60">
        <f t="shared" si="8"/>
        <v>2598391</v>
      </c>
      <c r="C62" s="60">
        <f>'Pro Forma Adj'!P63</f>
        <v>0</v>
      </c>
      <c r="D62" s="60">
        <f>'Pro Forma Adj'!Q63</f>
        <v>0</v>
      </c>
      <c r="E62" s="60">
        <f>'Pro Forma Adj'!R63</f>
        <v>2598391</v>
      </c>
      <c r="F62" s="60">
        <f>'Pro Forma Adj'!S63</f>
        <v>0</v>
      </c>
      <c r="G62" s="60">
        <f>'Pro Forma Adj'!T63</f>
        <v>0</v>
      </c>
      <c r="H62" s="60">
        <f>'Pro Forma Adj'!U63</f>
        <v>0</v>
      </c>
      <c r="I62" s="60"/>
    </row>
    <row r="63" spans="1:9" x14ac:dyDescent="0.3">
      <c r="A63" s="13"/>
      <c r="B63" s="12">
        <f t="shared" si="8"/>
        <v>0</v>
      </c>
      <c r="C63" s="12">
        <f>'Pro Forma Adj'!P64</f>
        <v>0</v>
      </c>
      <c r="D63" s="12">
        <f>'Pro Forma Adj'!Q64</f>
        <v>0</v>
      </c>
      <c r="E63" s="12">
        <f>'Pro Forma Adj'!R64</f>
        <v>0</v>
      </c>
      <c r="F63" s="12">
        <f>'Pro Forma Adj'!S64</f>
        <v>0</v>
      </c>
      <c r="G63" s="12">
        <f>'Pro Forma Adj'!T64</f>
        <v>0</v>
      </c>
      <c r="H63" s="12">
        <f>'Pro Forma Adj'!U64</f>
        <v>0</v>
      </c>
      <c r="I63" s="12"/>
    </row>
    <row r="64" spans="1:9" x14ac:dyDescent="0.3">
      <c r="A64" s="13" t="s">
        <v>57</v>
      </c>
      <c r="B64" s="204">
        <f t="shared" si="8"/>
        <v>-18940460.557278231</v>
      </c>
      <c r="C64" s="204">
        <f t="shared" ref="C64:H64" si="9">SUM(C56:C63)</f>
        <v>0</v>
      </c>
      <c r="D64" s="204">
        <f t="shared" si="9"/>
        <v>0</v>
      </c>
      <c r="E64" s="204">
        <f t="shared" si="9"/>
        <v>2003147.5631538227</v>
      </c>
      <c r="F64" s="204">
        <f t="shared" si="9"/>
        <v>-24209006.120432053</v>
      </c>
      <c r="G64" s="204">
        <f t="shared" si="9"/>
        <v>0</v>
      </c>
      <c r="H64" s="204">
        <f t="shared" si="9"/>
        <v>3265398</v>
      </c>
      <c r="I64" s="12"/>
    </row>
    <row r="65" spans="1:9" x14ac:dyDescent="0.3">
      <c r="A65" s="13"/>
      <c r="B65" s="12"/>
      <c r="C65" s="12"/>
      <c r="D65" s="12"/>
      <c r="E65" s="12"/>
      <c r="F65" s="12"/>
      <c r="G65" s="12"/>
      <c r="H65" s="12"/>
      <c r="I65" s="12"/>
    </row>
    <row r="66" spans="1:9" ht="12.9" thickBot="1" x14ac:dyDescent="0.35">
      <c r="A66" s="13" t="s">
        <v>58</v>
      </c>
      <c r="B66" s="214">
        <f>SUM(C66:I66)</f>
        <v>-18940460.557278231</v>
      </c>
      <c r="C66" s="214">
        <f t="shared" ref="C66:H66" si="10">C53+C64</f>
        <v>0</v>
      </c>
      <c r="D66" s="214">
        <f t="shared" si="10"/>
        <v>0</v>
      </c>
      <c r="E66" s="214">
        <f t="shared" si="10"/>
        <v>2003147.5631538227</v>
      </c>
      <c r="F66" s="214">
        <f t="shared" si="10"/>
        <v>-24209006.120432053</v>
      </c>
      <c r="G66" s="214">
        <f t="shared" si="10"/>
        <v>0</v>
      </c>
      <c r="H66" s="214">
        <f t="shared" si="10"/>
        <v>3265398</v>
      </c>
      <c r="I66" s="13"/>
    </row>
    <row r="67" spans="1:9" ht="12.9" thickTop="1" x14ac:dyDescent="0.3">
      <c r="A67" s="13"/>
      <c r="B67" s="12"/>
      <c r="C67" s="12"/>
      <c r="D67" s="12"/>
      <c r="E67" s="12"/>
      <c r="F67" s="12"/>
      <c r="G67" s="12"/>
      <c r="H67" s="12"/>
      <c r="I67" s="12"/>
    </row>
    <row r="68" spans="1:9" x14ac:dyDescent="0.3">
      <c r="A68" s="13"/>
      <c r="B68" s="12"/>
      <c r="C68" s="12"/>
      <c r="D68" s="12"/>
      <c r="E68" s="12"/>
      <c r="F68" s="12"/>
      <c r="G68" s="12"/>
      <c r="H68" s="12"/>
      <c r="I68" s="12"/>
    </row>
    <row r="69" spans="1:9" s="134" customFormat="1" x14ac:dyDescent="0.3">
      <c r="A69" s="16" t="s">
        <v>91</v>
      </c>
      <c r="B69" s="16">
        <f t="shared" ref="B69:H69" si="11">(((B39+Unadj_Op_revenue)/(B66+Unadj_rate_base))-Weighted_cost_debt-Weighted_cost_pref)/Percent_common-Unadj_ROE</f>
        <v>2.0711234803668238E-3</v>
      </c>
      <c r="C69" s="16">
        <f t="shared" si="11"/>
        <v>3.0211949428497753E-3</v>
      </c>
      <c r="D69" s="16">
        <f t="shared" si="11"/>
        <v>-2.1602981052020881E-3</v>
      </c>
      <c r="E69" s="16">
        <f t="shared" si="11"/>
        <v>3.4035736461195121E-4</v>
      </c>
      <c r="F69" s="16">
        <f t="shared" si="11"/>
        <v>2.1582890007586508E-3</v>
      </c>
      <c r="G69" s="16">
        <f t="shared" si="11"/>
        <v>6.0364913398446018E-4</v>
      </c>
      <c r="H69" s="16">
        <f t="shared" si="11"/>
        <v>1.1340574795434266E-3</v>
      </c>
      <c r="I69" s="16"/>
    </row>
    <row r="70" spans="1:9" x14ac:dyDescent="0.3">
      <c r="A70" s="13" t="s">
        <v>6</v>
      </c>
      <c r="B70" s="189">
        <f>SUM(C70:I70)</f>
        <v>-1032215.6814761774</v>
      </c>
      <c r="C70" s="189">
        <f t="shared" ref="C70:H70" si="12">-(C39-(C66*Overall_ROR))/gross_up_factor</f>
        <v>-1730396.1132368969</v>
      </c>
      <c r="D70" s="189">
        <f t="shared" si="12"/>
        <v>1978338.3389641137</v>
      </c>
      <c r="E70" s="189">
        <f t="shared" si="12"/>
        <v>188799.65527478643</v>
      </c>
      <c r="F70" s="189">
        <f t="shared" si="12"/>
        <v>-1088178.4195233244</v>
      </c>
      <c r="G70" s="189">
        <f t="shared" si="12"/>
        <v>0</v>
      </c>
      <c r="H70" s="189">
        <f t="shared" si="12"/>
        <v>-380779.14295485622</v>
      </c>
      <c r="I70" s="189"/>
    </row>
    <row r="71" spans="1:9" x14ac:dyDescent="0.3">
      <c r="A71" s="13"/>
      <c r="B71" s="16"/>
      <c r="C71" s="16"/>
      <c r="D71" s="16"/>
      <c r="E71" s="16"/>
      <c r="F71" s="16"/>
      <c r="G71" s="16"/>
      <c r="H71" s="16"/>
      <c r="I71" s="16"/>
    </row>
    <row r="72" spans="1:9" x14ac:dyDescent="0.3">
      <c r="A72" s="13" t="s">
        <v>60</v>
      </c>
      <c r="B72" s="12"/>
      <c r="C72" s="12"/>
      <c r="D72" s="12"/>
      <c r="E72" s="12"/>
      <c r="F72" s="12"/>
      <c r="G72" s="12"/>
      <c r="H72" s="12"/>
      <c r="I72" s="12"/>
    </row>
    <row r="73" spans="1:9" x14ac:dyDescent="0.3">
      <c r="A73" s="13" t="s">
        <v>61</v>
      </c>
      <c r="B73" s="189">
        <f t="shared" ref="B73:B79" si="13">SUM(C73:I73)</f>
        <v>-1882727</v>
      </c>
      <c r="C73" s="189">
        <f t="shared" ref="C73:H73" si="14">C15-C28-C29-C30-C31-C36</f>
        <v>0</v>
      </c>
      <c r="D73" s="189">
        <f t="shared" si="14"/>
        <v>-1882727</v>
      </c>
      <c r="E73" s="189">
        <f t="shared" si="14"/>
        <v>0</v>
      </c>
      <c r="F73" s="189">
        <f t="shared" si="14"/>
        <v>0</v>
      </c>
      <c r="G73" s="189">
        <f t="shared" si="14"/>
        <v>0</v>
      </c>
      <c r="H73" s="189">
        <f t="shared" si="14"/>
        <v>0</v>
      </c>
      <c r="I73" s="189"/>
    </row>
    <row r="74" spans="1:9" x14ac:dyDescent="0.3">
      <c r="A74" s="13" t="s">
        <v>62</v>
      </c>
      <c r="B74" s="12">
        <f t="shared" si="13"/>
        <v>0</v>
      </c>
      <c r="C74" s="12">
        <f>'Pro Forma Adj'!P75</f>
        <v>0</v>
      </c>
      <c r="D74" s="12">
        <f>'Pro Forma Adj'!Q75</f>
        <v>0</v>
      </c>
      <c r="E74" s="12">
        <f>'Pro Forma Adj'!R75</f>
        <v>0</v>
      </c>
      <c r="F74" s="12">
        <f>'Pro Forma Adj'!S75</f>
        <v>0</v>
      </c>
      <c r="G74" s="12">
        <f>'Pro Forma Adj'!T75</f>
        <v>0</v>
      </c>
      <c r="H74" s="12">
        <f>'Pro Forma Adj'!U75</f>
        <v>0</v>
      </c>
      <c r="I74" s="12"/>
    </row>
    <row r="75" spans="1:9" x14ac:dyDescent="0.3">
      <c r="A75" s="13" t="s">
        <v>63</v>
      </c>
      <c r="B75" s="58">
        <f t="shared" si="13"/>
        <v>0</v>
      </c>
      <c r="C75" s="58">
        <f>'Pro Forma Adj'!P76</f>
        <v>0</v>
      </c>
      <c r="D75" s="58">
        <f>'Pro Forma Adj'!Q76</f>
        <v>0</v>
      </c>
      <c r="E75" s="58">
        <f>'Pro Forma Adj'!R76</f>
        <v>0</v>
      </c>
      <c r="F75" s="58">
        <f>'Pro Forma Adj'!S76</f>
        <v>0</v>
      </c>
      <c r="G75" s="58">
        <f>'Pro Forma Adj'!T76</f>
        <v>0</v>
      </c>
      <c r="H75" s="58">
        <f>'Pro Forma Adj'!U76</f>
        <v>0</v>
      </c>
      <c r="I75" s="58"/>
    </row>
    <row r="76" spans="1:9" x14ac:dyDescent="0.3">
      <c r="A76" s="13" t="s">
        <v>64</v>
      </c>
      <c r="B76" s="58">
        <f t="shared" si="13"/>
        <v>6194982.885017924</v>
      </c>
      <c r="C76" s="58">
        <f>'Pro Forma Adj'!P77</f>
        <v>6194982.885017924</v>
      </c>
      <c r="D76" s="58">
        <f>'Pro Forma Adj'!Q77</f>
        <v>0</v>
      </c>
      <c r="E76" s="58">
        <f>'Pro Forma Adj'!R77</f>
        <v>0</v>
      </c>
      <c r="F76" s="58">
        <f>'Pro Forma Adj'!S77</f>
        <v>0</v>
      </c>
      <c r="G76" s="58">
        <f>'Pro Forma Adj'!T77</f>
        <v>0</v>
      </c>
      <c r="H76" s="58">
        <f>'Pro Forma Adj'!U77</f>
        <v>0</v>
      </c>
      <c r="I76" s="58"/>
    </row>
    <row r="77" spans="1:9" x14ac:dyDescent="0.3">
      <c r="A77" s="13" t="s">
        <v>65</v>
      </c>
      <c r="B77" s="58">
        <f t="shared" si="13"/>
        <v>10157136.349259827</v>
      </c>
      <c r="C77" s="58">
        <f>'Pro Forma Adj'!P78</f>
        <v>0</v>
      </c>
      <c r="D77" s="58">
        <f>'Pro Forma Adj'!Q78</f>
        <v>0</v>
      </c>
      <c r="E77" s="58">
        <f>'Pro Forma Adj'!R78</f>
        <v>0</v>
      </c>
      <c r="F77" s="58">
        <f>'Pro Forma Adj'!S78</f>
        <v>10157136.349259827</v>
      </c>
      <c r="G77" s="58">
        <f>'Pro Forma Adj'!T78</f>
        <v>0</v>
      </c>
      <c r="H77" s="58">
        <f>'Pro Forma Adj'!U78</f>
        <v>0</v>
      </c>
      <c r="I77" s="58"/>
    </row>
    <row r="78" spans="1:9" x14ac:dyDescent="0.3">
      <c r="A78" s="13" t="s">
        <v>66</v>
      </c>
      <c r="B78" s="64">
        <f t="shared" si="13"/>
        <v>16975738.796758544</v>
      </c>
      <c r="C78" s="64">
        <f>'Pro Forma Adj'!P79</f>
        <v>0</v>
      </c>
      <c r="D78" s="64">
        <f>'Pro Forma Adj'!Q79</f>
        <v>0</v>
      </c>
      <c r="E78" s="64">
        <f>'Pro Forma Adj'!R79</f>
        <v>0</v>
      </c>
      <c r="F78" s="64">
        <f>'Pro Forma Adj'!S79</f>
        <v>16975738.796758544</v>
      </c>
      <c r="G78" s="64">
        <f>'Pro Forma Adj'!T79</f>
        <v>0</v>
      </c>
      <c r="H78" s="64">
        <f>'Pro Forma Adj'!U79</f>
        <v>0</v>
      </c>
      <c r="I78" s="58"/>
    </row>
    <row r="79" spans="1:9" x14ac:dyDescent="0.3">
      <c r="A79" s="13" t="s">
        <v>67</v>
      </c>
      <c r="B79" s="13">
        <f t="shared" si="13"/>
        <v>-14896312.33251664</v>
      </c>
      <c r="C79" s="13">
        <f t="shared" ref="C79:D79" si="15">C73-C75-C76+C77-C78</f>
        <v>-6194982.885017924</v>
      </c>
      <c r="D79" s="13">
        <f t="shared" si="15"/>
        <v>-1882727</v>
      </c>
      <c r="E79" s="13">
        <f>E73-E75-E76+E77-E78</f>
        <v>0</v>
      </c>
      <c r="F79" s="13">
        <f t="shared" ref="F79:H79" si="16">F73-F75-F76+F77-F78</f>
        <v>-6818602.4474987164</v>
      </c>
      <c r="G79" s="13">
        <f t="shared" si="16"/>
        <v>0</v>
      </c>
      <c r="H79" s="13">
        <f t="shared" si="16"/>
        <v>0</v>
      </c>
      <c r="I79" s="13"/>
    </row>
    <row r="80" spans="1:9" x14ac:dyDescent="0.3">
      <c r="A80" s="13"/>
      <c r="B80" s="12"/>
      <c r="C80" s="12"/>
      <c r="D80" s="12"/>
      <c r="E80" s="12"/>
      <c r="F80" s="12"/>
      <c r="G80" s="12"/>
      <c r="H80" s="12"/>
      <c r="I80" s="12"/>
    </row>
    <row r="81" spans="1:9" x14ac:dyDescent="0.3">
      <c r="A81" s="13" t="s">
        <v>68</v>
      </c>
      <c r="B81" s="12">
        <f>SUM(C81:I81)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/>
    </row>
    <row r="82" spans="1:9" ht="12.9" thickBot="1" x14ac:dyDescent="0.35">
      <c r="A82" s="13" t="s">
        <v>69</v>
      </c>
      <c r="B82" s="235">
        <f>SUM(C82:I82)</f>
        <v>-14896312.33251664</v>
      </c>
      <c r="C82" s="235">
        <f t="shared" ref="C82:H82" si="17">C79-C81</f>
        <v>-6194982.885017924</v>
      </c>
      <c r="D82" s="235">
        <f t="shared" si="17"/>
        <v>-1882727</v>
      </c>
      <c r="E82" s="235">
        <f t="shared" si="17"/>
        <v>0</v>
      </c>
      <c r="F82" s="235">
        <f t="shared" si="17"/>
        <v>-6818602.4474987164</v>
      </c>
      <c r="G82" s="235">
        <f t="shared" si="17"/>
        <v>0</v>
      </c>
      <c r="H82" s="235">
        <f t="shared" si="17"/>
        <v>0</v>
      </c>
      <c r="I82" s="12"/>
    </row>
    <row r="83" spans="1:9" x14ac:dyDescent="0.3">
      <c r="A83" s="13"/>
      <c r="B83" s="12"/>
      <c r="C83" s="12"/>
      <c r="D83" s="12"/>
      <c r="E83" s="12"/>
      <c r="F83" s="12"/>
      <c r="G83" s="12"/>
      <c r="H83" s="12"/>
      <c r="I83" s="12"/>
    </row>
    <row r="84" spans="1:9" x14ac:dyDescent="0.3">
      <c r="A84" s="13" t="s">
        <v>79</v>
      </c>
      <c r="B84" s="12">
        <f>SUM(C84:I84)</f>
        <v>-3128225.589828494</v>
      </c>
      <c r="C84" s="12">
        <f t="shared" ref="C84:H84" si="18">C82*0.21</f>
        <v>-1300946.4058537639</v>
      </c>
      <c r="D84" s="12">
        <f t="shared" si="18"/>
        <v>-395372.67</v>
      </c>
      <c r="E84" s="12">
        <f t="shared" si="18"/>
        <v>0</v>
      </c>
      <c r="F84" s="12">
        <f t="shared" si="18"/>
        <v>-1431906.5139747304</v>
      </c>
      <c r="G84" s="12">
        <f t="shared" si="18"/>
        <v>0</v>
      </c>
      <c r="H84" s="12">
        <f t="shared" si="18"/>
        <v>0</v>
      </c>
      <c r="I84" s="12"/>
    </row>
    <row r="85" spans="1:9" x14ac:dyDescent="0.3">
      <c r="A85" s="13" t="s">
        <v>126</v>
      </c>
      <c r="B85" s="12">
        <f>SUM(C85:I85)</f>
        <v>0</v>
      </c>
      <c r="C85" s="12"/>
      <c r="D85" s="12"/>
      <c r="E85" s="12"/>
      <c r="F85" s="12"/>
      <c r="G85" s="12"/>
      <c r="H85" s="12"/>
      <c r="I85" s="12"/>
    </row>
    <row r="86" spans="1:9" ht="12.9" thickBot="1" x14ac:dyDescent="0.35">
      <c r="A86" s="13" t="s">
        <v>81</v>
      </c>
      <c r="B86" s="242">
        <f>SUM(C86:I86)</f>
        <v>-3128225.589828494</v>
      </c>
      <c r="C86" s="242">
        <f t="shared" ref="C86:H86" si="19">C84+C85</f>
        <v>-1300946.4058537639</v>
      </c>
      <c r="D86" s="242">
        <f t="shared" si="19"/>
        <v>-395372.67</v>
      </c>
      <c r="E86" s="242">
        <f t="shared" si="19"/>
        <v>0</v>
      </c>
      <c r="F86" s="242">
        <f t="shared" si="19"/>
        <v>-1431906.5139747304</v>
      </c>
      <c r="G86" s="242">
        <f t="shared" si="19"/>
        <v>0</v>
      </c>
      <c r="H86" s="242">
        <f t="shared" si="19"/>
        <v>0</v>
      </c>
      <c r="I86" s="12"/>
    </row>
    <row r="87" spans="1:9" ht="12.9" thickTop="1" x14ac:dyDescent="0.3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3">
      <c r="A88" s="13"/>
      <c r="B88" s="14"/>
      <c r="C88" s="14"/>
      <c r="D88" s="14"/>
      <c r="E88" s="14"/>
      <c r="F88" s="14"/>
      <c r="G88" s="14"/>
      <c r="H88" s="14"/>
      <c r="I88" s="13"/>
    </row>
    <row r="89" spans="1:9" x14ac:dyDescent="0.3">
      <c r="A89" s="19"/>
      <c r="B89" s="12"/>
      <c r="C89" s="12"/>
      <c r="D89" s="12"/>
      <c r="E89" s="12"/>
      <c r="F89" s="12"/>
      <c r="G89" s="12"/>
      <c r="H89" s="12"/>
      <c r="I89" s="12"/>
    </row>
    <row r="90" spans="1:9" x14ac:dyDescent="0.3">
      <c r="A90" s="13"/>
      <c r="B90" s="12"/>
      <c r="C90" s="12"/>
      <c r="D90" s="12"/>
      <c r="E90" s="12"/>
      <c r="F90" s="12"/>
      <c r="G90" s="12"/>
      <c r="H90" s="12"/>
      <c r="I90" s="12"/>
    </row>
    <row r="91" spans="1:9" x14ac:dyDescent="0.3">
      <c r="A91" s="13"/>
      <c r="B91" s="134"/>
      <c r="C91" s="134"/>
      <c r="D91" s="134"/>
      <c r="E91" s="134"/>
      <c r="F91" s="134"/>
      <c r="G91" s="134"/>
      <c r="H91" s="134"/>
    </row>
    <row r="92" spans="1:9" x14ac:dyDescent="0.3">
      <c r="A92" s="240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Interest &amp; Tax - Rate Year 2 Adjustments (Tab 15)
PRO FORMA&amp;10
&amp;R&amp;12Page 15.0&amp;P
&amp;10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B5D-3E6E-496C-BF58-6CEAAE11AAEC}">
  <sheetPr>
    <pageSetUpPr fitToPage="1"/>
  </sheetPr>
  <dimension ref="A2:E92"/>
  <sheetViews>
    <sheetView showOutlineSymbols="0" workbookViewId="0">
      <selection activeCell="E33" sqref="E33"/>
    </sheetView>
  </sheetViews>
  <sheetFormatPr defaultColWidth="9.15234375" defaultRowHeight="12.45" x14ac:dyDescent="0.3"/>
  <cols>
    <col min="1" max="1" width="37.53515625" style="2" customWidth="1"/>
    <col min="2" max="4" width="17.23046875" style="2" bestFit="1" customWidth="1"/>
    <col min="5" max="5" width="15.15234375" style="2" customWidth="1"/>
    <col min="6" max="16384" width="9.15234375" style="2"/>
  </cols>
  <sheetData>
    <row r="2" spans="1:5" x14ac:dyDescent="0.3">
      <c r="A2" s="237"/>
    </row>
    <row r="3" spans="1:5" x14ac:dyDescent="0.3">
      <c r="A3" s="237"/>
    </row>
    <row r="4" spans="1:5" x14ac:dyDescent="0.3">
      <c r="A4" s="238"/>
    </row>
    <row r="5" spans="1:5" x14ac:dyDescent="0.3">
      <c r="A5" s="238"/>
    </row>
    <row r="6" spans="1:5" x14ac:dyDescent="0.3">
      <c r="A6" s="238"/>
      <c r="B6" s="4"/>
      <c r="C6" s="4"/>
      <c r="D6" s="4"/>
    </row>
    <row r="7" spans="1:5" x14ac:dyDescent="0.3">
      <c r="B7" s="54"/>
      <c r="C7" s="54" t="str">
        <f>'Pro Forma Adj'!V8</f>
        <v>16.1</v>
      </c>
      <c r="D7" s="54" t="str">
        <f>'Pro Forma Adj'!W8</f>
        <v>16.2</v>
      </c>
      <c r="E7" s="54"/>
    </row>
    <row r="8" spans="1:5" s="13" customFormat="1" ht="81" customHeight="1" x14ac:dyDescent="0.3">
      <c r="B8" s="230" t="s">
        <v>226</v>
      </c>
      <c r="C8" s="230" t="str">
        <f>'Pro Forma Adj'!V9</f>
        <v>Regulatory Assets &amp; Liabilities Amortization - Year 2</v>
      </c>
      <c r="D8" s="230" t="str">
        <f>'Pro Forma Adj'!W9</f>
        <v>Klamath Hydroelectric Assets Amortization - Year 2</v>
      </c>
      <c r="E8" s="230"/>
    </row>
    <row r="10" spans="1:5" x14ac:dyDescent="0.3">
      <c r="A10" s="13" t="s">
        <v>8</v>
      </c>
      <c r="B10" s="12"/>
      <c r="C10" s="12"/>
      <c r="D10" s="12"/>
      <c r="E10" s="12"/>
    </row>
    <row r="11" spans="1:5" x14ac:dyDescent="0.3">
      <c r="A11" s="13" t="s">
        <v>9</v>
      </c>
      <c r="B11" s="60">
        <f>SUM(C11:E11)</f>
        <v>0</v>
      </c>
      <c r="C11" s="60">
        <f>'Pro Forma Adj'!V12</f>
        <v>0</v>
      </c>
      <c r="D11" s="60">
        <f>'Pro Forma Adj'!W12</f>
        <v>0</v>
      </c>
      <c r="E11" s="60"/>
    </row>
    <row r="12" spans="1:5" x14ac:dyDescent="0.3">
      <c r="A12" s="13" t="s">
        <v>10</v>
      </c>
      <c r="B12" s="60">
        <f>SUM(C12:E12)</f>
        <v>0</v>
      </c>
      <c r="C12" s="60">
        <f>'Pro Forma Adj'!V13</f>
        <v>0</v>
      </c>
      <c r="D12" s="60">
        <f>'Pro Forma Adj'!W13</f>
        <v>0</v>
      </c>
      <c r="E12" s="60"/>
    </row>
    <row r="13" spans="1:5" x14ac:dyDescent="0.3">
      <c r="A13" s="13" t="s">
        <v>11</v>
      </c>
      <c r="B13" s="60">
        <f>SUM(C13:E13)</f>
        <v>0</v>
      </c>
      <c r="C13" s="60">
        <f>'Pro Forma Adj'!V14</f>
        <v>0</v>
      </c>
      <c r="D13" s="60">
        <f>'Pro Forma Adj'!W14</f>
        <v>0</v>
      </c>
      <c r="E13" s="60"/>
    </row>
    <row r="14" spans="1:5" x14ac:dyDescent="0.3">
      <c r="A14" s="13" t="s">
        <v>12</v>
      </c>
      <c r="B14" s="60">
        <f>SUM(C14:E14)</f>
        <v>0</v>
      </c>
      <c r="C14" s="60">
        <f>'Pro Forma Adj'!V15</f>
        <v>0</v>
      </c>
      <c r="D14" s="60">
        <f>'Pro Forma Adj'!W15</f>
        <v>0</v>
      </c>
      <c r="E14" s="60"/>
    </row>
    <row r="15" spans="1:5" x14ac:dyDescent="0.3">
      <c r="A15" s="13" t="s">
        <v>13</v>
      </c>
      <c r="B15" s="204">
        <f>SUM(C15:E15)</f>
        <v>0</v>
      </c>
      <c r="C15" s="204">
        <f t="shared" ref="C15:D15" si="0">SUM(C11:C14)</f>
        <v>0</v>
      </c>
      <c r="D15" s="204">
        <f t="shared" si="0"/>
        <v>0</v>
      </c>
      <c r="E15" s="12"/>
    </row>
    <row r="16" spans="1:5" x14ac:dyDescent="0.3">
      <c r="A16" s="13"/>
      <c r="B16" s="12"/>
      <c r="C16" s="12"/>
      <c r="D16" s="12"/>
      <c r="E16" s="12"/>
    </row>
    <row r="17" spans="1:5" x14ac:dyDescent="0.3">
      <c r="A17" s="13" t="s">
        <v>14</v>
      </c>
      <c r="B17" s="12"/>
      <c r="C17" s="12"/>
      <c r="D17" s="12"/>
      <c r="E17" s="12"/>
    </row>
    <row r="18" spans="1:5" x14ac:dyDescent="0.3">
      <c r="A18" s="13" t="s">
        <v>15</v>
      </c>
      <c r="B18" s="60">
        <f t="shared" ref="B18:B39" si="1">SUM(C18:E18)</f>
        <v>0</v>
      </c>
      <c r="C18" s="60">
        <f>'Pro Forma Adj'!V19</f>
        <v>0</v>
      </c>
      <c r="D18" s="60">
        <f>'Pro Forma Adj'!W19</f>
        <v>0</v>
      </c>
      <c r="E18" s="60"/>
    </row>
    <row r="19" spans="1:5" x14ac:dyDescent="0.3">
      <c r="A19" s="13" t="s">
        <v>16</v>
      </c>
      <c r="B19" s="60">
        <f t="shared" si="1"/>
        <v>0</v>
      </c>
      <c r="C19" s="60">
        <f>'Pro Forma Adj'!V20</f>
        <v>0</v>
      </c>
      <c r="D19" s="60">
        <f>'Pro Forma Adj'!W20</f>
        <v>0</v>
      </c>
      <c r="E19" s="60"/>
    </row>
    <row r="20" spans="1:5" x14ac:dyDescent="0.3">
      <c r="A20" s="13" t="s">
        <v>17</v>
      </c>
      <c r="B20" s="60">
        <f t="shared" si="1"/>
        <v>0</v>
      </c>
      <c r="C20" s="60">
        <f>'Pro Forma Adj'!V21</f>
        <v>0</v>
      </c>
      <c r="D20" s="60">
        <f>'Pro Forma Adj'!W21</f>
        <v>0</v>
      </c>
      <c r="E20" s="60"/>
    </row>
    <row r="21" spans="1:5" x14ac:dyDescent="0.3">
      <c r="A21" s="13" t="s">
        <v>18</v>
      </c>
      <c r="B21" s="60">
        <f t="shared" si="1"/>
        <v>0</v>
      </c>
      <c r="C21" s="60">
        <f>'Pro Forma Adj'!V22</f>
        <v>0</v>
      </c>
      <c r="D21" s="60">
        <f>'Pro Forma Adj'!W22</f>
        <v>0</v>
      </c>
      <c r="E21" s="60"/>
    </row>
    <row r="22" spans="1:5" x14ac:dyDescent="0.3">
      <c r="A22" s="13" t="s">
        <v>19</v>
      </c>
      <c r="B22" s="60">
        <f t="shared" si="1"/>
        <v>0</v>
      </c>
      <c r="C22" s="60">
        <f>'Pro Forma Adj'!V23</f>
        <v>0</v>
      </c>
      <c r="D22" s="60">
        <f>'Pro Forma Adj'!W23</f>
        <v>0</v>
      </c>
      <c r="E22" s="60"/>
    </row>
    <row r="23" spans="1:5" x14ac:dyDescent="0.3">
      <c r="A23" s="13" t="s">
        <v>20</v>
      </c>
      <c r="B23" s="60">
        <f t="shared" si="1"/>
        <v>0</v>
      </c>
      <c r="C23" s="60">
        <f>'Pro Forma Adj'!V24</f>
        <v>0</v>
      </c>
      <c r="D23" s="60">
        <f>'Pro Forma Adj'!W24</f>
        <v>0</v>
      </c>
      <c r="E23" s="60"/>
    </row>
    <row r="24" spans="1:5" x14ac:dyDescent="0.3">
      <c r="A24" s="13" t="s">
        <v>21</v>
      </c>
      <c r="B24" s="60">
        <f t="shared" si="1"/>
        <v>0</v>
      </c>
      <c r="C24" s="60">
        <f>'Pro Forma Adj'!V25</f>
        <v>0</v>
      </c>
      <c r="D24" s="60">
        <f>'Pro Forma Adj'!W25</f>
        <v>0</v>
      </c>
      <c r="E24" s="60"/>
    </row>
    <row r="25" spans="1:5" x14ac:dyDescent="0.3">
      <c r="A25" s="13" t="s">
        <v>22</v>
      </c>
      <c r="B25" s="60">
        <f t="shared" si="1"/>
        <v>0</v>
      </c>
      <c r="C25" s="60">
        <f>'Pro Forma Adj'!V26</f>
        <v>0</v>
      </c>
      <c r="D25" s="60">
        <f>'Pro Forma Adj'!W26</f>
        <v>0</v>
      </c>
      <c r="E25" s="60"/>
    </row>
    <row r="26" spans="1:5" x14ac:dyDescent="0.3">
      <c r="A26" s="13" t="s">
        <v>23</v>
      </c>
      <c r="B26" s="60">
        <f t="shared" si="1"/>
        <v>0</v>
      </c>
      <c r="C26" s="60">
        <f>'Pro Forma Adj'!V27</f>
        <v>0</v>
      </c>
      <c r="D26" s="60">
        <f>'Pro Forma Adj'!W27</f>
        <v>0</v>
      </c>
      <c r="E26" s="60"/>
    </row>
    <row r="27" spans="1:5" x14ac:dyDescent="0.3">
      <c r="A27" s="13" t="s">
        <v>24</v>
      </c>
      <c r="B27" s="63">
        <f t="shared" si="1"/>
        <v>0</v>
      </c>
      <c r="C27" s="63">
        <f>'Pro Forma Adj'!V28</f>
        <v>0</v>
      </c>
      <c r="D27" s="63">
        <f>'Pro Forma Adj'!W28</f>
        <v>0</v>
      </c>
      <c r="E27" s="60"/>
    </row>
    <row r="28" spans="1:5" x14ac:dyDescent="0.3">
      <c r="A28" s="13" t="s">
        <v>25</v>
      </c>
      <c r="B28" s="12">
        <f t="shared" si="1"/>
        <v>0</v>
      </c>
      <c r="C28" s="12">
        <f t="shared" ref="C28:D28" si="2">SUM(C18:C27)</f>
        <v>0</v>
      </c>
      <c r="D28" s="12">
        <f t="shared" si="2"/>
        <v>0</v>
      </c>
      <c r="E28" s="12"/>
    </row>
    <row r="29" spans="1:5" x14ac:dyDescent="0.3">
      <c r="A29" s="13" t="s">
        <v>26</v>
      </c>
      <c r="B29" s="60">
        <f t="shared" si="1"/>
        <v>0</v>
      </c>
      <c r="C29" s="60">
        <f>'Pro Forma Adj'!V30</f>
        <v>0</v>
      </c>
      <c r="D29" s="60">
        <f>'Pro Forma Adj'!W30</f>
        <v>0</v>
      </c>
      <c r="E29" s="60"/>
    </row>
    <row r="30" spans="1:5" x14ac:dyDescent="0.3">
      <c r="A30" s="13" t="s">
        <v>27</v>
      </c>
      <c r="B30" s="60">
        <f t="shared" si="1"/>
        <v>-7011257.8506784029</v>
      </c>
      <c r="C30" s="60">
        <f>'Pro Forma Adj'!V31</f>
        <v>-7011257.8506784029</v>
      </c>
      <c r="D30" s="60">
        <f>'Pro Forma Adj'!W31</f>
        <v>0</v>
      </c>
      <c r="E30" s="60"/>
    </row>
    <row r="31" spans="1:5" x14ac:dyDescent="0.3">
      <c r="A31" s="13" t="s">
        <v>28</v>
      </c>
      <c r="B31" s="60">
        <f t="shared" si="1"/>
        <v>0</v>
      </c>
      <c r="C31" s="60">
        <f>'Pro Forma Adj'!V32</f>
        <v>0</v>
      </c>
      <c r="D31" s="60">
        <f>'Pro Forma Adj'!W32</f>
        <v>0</v>
      </c>
      <c r="E31" s="60"/>
    </row>
    <row r="32" spans="1:5" x14ac:dyDescent="0.3">
      <c r="A32" s="13" t="s">
        <v>29</v>
      </c>
      <c r="B32" s="60">
        <f t="shared" si="1"/>
        <v>1298884.6543424646</v>
      </c>
      <c r="C32" s="60">
        <f t="shared" ref="C32:D32" si="3">C86</f>
        <v>1298884.6543424646</v>
      </c>
      <c r="D32" s="60">
        <f t="shared" si="3"/>
        <v>0</v>
      </c>
      <c r="E32" s="60"/>
    </row>
    <row r="33" spans="1:5" x14ac:dyDescent="0.3">
      <c r="A33" s="13" t="s">
        <v>30</v>
      </c>
      <c r="B33" s="58">
        <f t="shared" si="1"/>
        <v>0</v>
      </c>
      <c r="C33" s="58">
        <v>0</v>
      </c>
      <c r="D33" s="58">
        <v>0</v>
      </c>
      <c r="E33" s="58"/>
    </row>
    <row r="34" spans="1:5" x14ac:dyDescent="0.3">
      <c r="A34" s="13" t="s">
        <v>31</v>
      </c>
      <c r="B34" s="60">
        <f t="shared" si="1"/>
        <v>203108.13974078008</v>
      </c>
      <c r="C34" s="60">
        <f>'Pro Forma Adj'!V35</f>
        <v>203108.13974078008</v>
      </c>
      <c r="D34" s="60">
        <f>'Pro Forma Adj'!W35</f>
        <v>0</v>
      </c>
      <c r="E34" s="60"/>
    </row>
    <row r="35" spans="1:5" x14ac:dyDescent="0.3">
      <c r="A35" s="13" t="s">
        <v>32</v>
      </c>
      <c r="B35" s="60">
        <f t="shared" si="1"/>
        <v>0</v>
      </c>
      <c r="C35" s="60">
        <f>'Pro Forma Adj'!V36</f>
        <v>0</v>
      </c>
      <c r="D35" s="60">
        <f>'Pro Forma Adj'!W36</f>
        <v>0</v>
      </c>
      <c r="E35" s="60"/>
    </row>
    <row r="36" spans="1:5" x14ac:dyDescent="0.3">
      <c r="A36" s="13" t="s">
        <v>33</v>
      </c>
      <c r="B36" s="60">
        <f t="shared" si="1"/>
        <v>0</v>
      </c>
      <c r="C36" s="60">
        <f>'Pro Forma Adj'!V37</f>
        <v>0</v>
      </c>
      <c r="D36" s="60">
        <f>'Pro Forma Adj'!W37</f>
        <v>0</v>
      </c>
      <c r="E36" s="60"/>
    </row>
    <row r="37" spans="1:5" x14ac:dyDescent="0.3">
      <c r="A37" s="13" t="s">
        <v>34</v>
      </c>
      <c r="B37" s="204">
        <f t="shared" si="1"/>
        <v>-5509265.0565951578</v>
      </c>
      <c r="C37" s="204">
        <f t="shared" ref="C37:D37" si="4">SUM(C28:C36)</f>
        <v>-5509265.0565951578</v>
      </c>
      <c r="D37" s="204">
        <f t="shared" si="4"/>
        <v>0</v>
      </c>
      <c r="E37" s="12"/>
    </row>
    <row r="38" spans="1:5" x14ac:dyDescent="0.3">
      <c r="A38" s="13"/>
      <c r="B38" s="12">
        <f t="shared" si="1"/>
        <v>0</v>
      </c>
      <c r="C38" s="12"/>
      <c r="D38" s="12"/>
      <c r="E38" s="12"/>
    </row>
    <row r="39" spans="1:5" ht="12.9" thickBot="1" x14ac:dyDescent="0.35">
      <c r="A39" s="13" t="s">
        <v>35</v>
      </c>
      <c r="B39" s="208">
        <f t="shared" si="1"/>
        <v>5509265.0565951578</v>
      </c>
      <c r="C39" s="208">
        <f t="shared" ref="C39:D39" si="5">C15-C37</f>
        <v>5509265.0565951578</v>
      </c>
      <c r="D39" s="208">
        <f t="shared" si="5"/>
        <v>0</v>
      </c>
      <c r="E39" s="222"/>
    </row>
    <row r="40" spans="1:5" ht="12.9" thickTop="1" x14ac:dyDescent="0.3">
      <c r="A40" s="13"/>
      <c r="B40" s="12"/>
      <c r="C40" s="12"/>
      <c r="D40" s="12"/>
      <c r="E40" s="12"/>
    </row>
    <row r="41" spans="1:5" x14ac:dyDescent="0.3">
      <c r="A41" s="13" t="s">
        <v>36</v>
      </c>
      <c r="B41" s="12"/>
      <c r="C41" s="12"/>
      <c r="D41" s="12"/>
      <c r="E41" s="12"/>
    </row>
    <row r="42" spans="1:5" x14ac:dyDescent="0.3">
      <c r="A42" s="13" t="s">
        <v>37</v>
      </c>
      <c r="B42" s="60">
        <f t="shared" ref="B42:B53" si="6">SUM(C42:E42)</f>
        <v>0</v>
      </c>
      <c r="C42" s="60">
        <f>'Pro Forma Adj'!V43</f>
        <v>0</v>
      </c>
      <c r="D42" s="60">
        <f>'Pro Forma Adj'!W43</f>
        <v>0</v>
      </c>
      <c r="E42" s="60"/>
    </row>
    <row r="43" spans="1:5" x14ac:dyDescent="0.3">
      <c r="A43" s="13" t="s">
        <v>38</v>
      </c>
      <c r="B43" s="60">
        <f t="shared" si="6"/>
        <v>0</v>
      </c>
      <c r="C43" s="60">
        <f>'Pro Forma Adj'!V44</f>
        <v>0</v>
      </c>
      <c r="D43" s="60">
        <f>'Pro Forma Adj'!W44</f>
        <v>0</v>
      </c>
      <c r="E43" s="60"/>
    </row>
    <row r="44" spans="1:5" x14ac:dyDescent="0.3">
      <c r="A44" s="13" t="s">
        <v>39</v>
      </c>
      <c r="B44" s="60">
        <f t="shared" si="6"/>
        <v>-489243.1450514372</v>
      </c>
      <c r="C44" s="60">
        <f>'Pro Forma Adj'!V45</f>
        <v>-413046.41499999963</v>
      </c>
      <c r="D44" s="60">
        <f>'Pro Forma Adj'!W45</f>
        <v>-76196.730051437567</v>
      </c>
      <c r="E44" s="60"/>
    </row>
    <row r="45" spans="1:5" x14ac:dyDescent="0.3">
      <c r="A45" s="13" t="s">
        <v>40</v>
      </c>
      <c r="B45" s="60">
        <f t="shared" si="6"/>
        <v>0</v>
      </c>
      <c r="C45" s="60">
        <f>'Pro Forma Adj'!V46</f>
        <v>0</v>
      </c>
      <c r="D45" s="60">
        <f>'Pro Forma Adj'!W46</f>
        <v>0</v>
      </c>
      <c r="E45" s="60"/>
    </row>
    <row r="46" spans="1:5" x14ac:dyDescent="0.3">
      <c r="A46" s="13" t="s">
        <v>41</v>
      </c>
      <c r="B46" s="60">
        <f t="shared" si="6"/>
        <v>0</v>
      </c>
      <c r="C46" s="60">
        <f>'Pro Forma Adj'!V47</f>
        <v>0</v>
      </c>
      <c r="D46" s="60">
        <f>'Pro Forma Adj'!W47</f>
        <v>0</v>
      </c>
      <c r="E46" s="60"/>
    </row>
    <row r="47" spans="1:5" x14ac:dyDescent="0.3">
      <c r="A47" s="13" t="s">
        <v>42</v>
      </c>
      <c r="B47" s="60">
        <f t="shared" si="6"/>
        <v>0</v>
      </c>
      <c r="C47" s="60">
        <f>'Pro Forma Adj'!V48</f>
        <v>0</v>
      </c>
      <c r="D47" s="60">
        <f>'Pro Forma Adj'!W48</f>
        <v>0</v>
      </c>
      <c r="E47" s="60"/>
    </row>
    <row r="48" spans="1:5" x14ac:dyDescent="0.3">
      <c r="A48" s="13" t="s">
        <v>43</v>
      </c>
      <c r="B48" s="60">
        <f t="shared" si="6"/>
        <v>0</v>
      </c>
      <c r="C48" s="60">
        <f>'Pro Forma Adj'!V49</f>
        <v>0</v>
      </c>
      <c r="D48" s="60">
        <f>'Pro Forma Adj'!W49</f>
        <v>0</v>
      </c>
      <c r="E48" s="60"/>
    </row>
    <row r="49" spans="1:5" x14ac:dyDescent="0.3">
      <c r="A49" s="13" t="s">
        <v>44</v>
      </c>
      <c r="B49" s="60">
        <f t="shared" si="6"/>
        <v>0</v>
      </c>
      <c r="C49" s="60">
        <f>'Pro Forma Adj'!V50</f>
        <v>0</v>
      </c>
      <c r="D49" s="60">
        <f>'Pro Forma Adj'!W50</f>
        <v>0</v>
      </c>
      <c r="E49" s="60"/>
    </row>
    <row r="50" spans="1:5" x14ac:dyDescent="0.3">
      <c r="A50" s="13" t="s">
        <v>45</v>
      </c>
      <c r="B50" s="60">
        <f t="shared" si="6"/>
        <v>0</v>
      </c>
      <c r="C50" s="60">
        <f>'Pro Forma Adj'!V51</f>
        <v>0</v>
      </c>
      <c r="D50" s="60">
        <f>'Pro Forma Adj'!W51</f>
        <v>0</v>
      </c>
      <c r="E50" s="60"/>
    </row>
    <row r="51" spans="1:5" x14ac:dyDescent="0.3">
      <c r="A51" s="13" t="s">
        <v>46</v>
      </c>
      <c r="B51" s="60">
        <f t="shared" si="6"/>
        <v>0</v>
      </c>
      <c r="C51" s="60">
        <f>'Pro Forma Adj'!V52</f>
        <v>0</v>
      </c>
      <c r="D51" s="60">
        <f>'Pro Forma Adj'!W52</f>
        <v>0</v>
      </c>
      <c r="E51" s="60"/>
    </row>
    <row r="52" spans="1:5" x14ac:dyDescent="0.3">
      <c r="A52" s="13" t="s">
        <v>47</v>
      </c>
      <c r="B52" s="60">
        <f t="shared" si="6"/>
        <v>0</v>
      </c>
      <c r="C52" s="60">
        <f>'Pro Forma Adj'!V53</f>
        <v>0</v>
      </c>
      <c r="D52" s="60">
        <f>'Pro Forma Adj'!W53</f>
        <v>0</v>
      </c>
      <c r="E52" s="60"/>
    </row>
    <row r="53" spans="1:5" x14ac:dyDescent="0.3">
      <c r="A53" s="13" t="s">
        <v>48</v>
      </c>
      <c r="B53" s="211">
        <f t="shared" si="6"/>
        <v>-489243.1450514372</v>
      </c>
      <c r="C53" s="211">
        <f t="shared" ref="C53:D53" si="7">SUM(C42:C52)</f>
        <v>-413046.41499999963</v>
      </c>
      <c r="D53" s="211">
        <f t="shared" si="7"/>
        <v>-76196.730051437567</v>
      </c>
      <c r="E53" s="58"/>
    </row>
    <row r="54" spans="1:5" x14ac:dyDescent="0.3">
      <c r="A54" s="13"/>
      <c r="B54" s="12"/>
      <c r="C54" s="12"/>
      <c r="D54" s="12"/>
      <c r="E54" s="12"/>
    </row>
    <row r="55" spans="1:5" x14ac:dyDescent="0.3">
      <c r="A55" s="13" t="s">
        <v>49</v>
      </c>
      <c r="B55" s="12"/>
      <c r="C55" s="12"/>
      <c r="D55" s="12"/>
      <c r="E55" s="12"/>
    </row>
    <row r="56" spans="1:5" x14ac:dyDescent="0.3">
      <c r="A56" s="13" t="s">
        <v>50</v>
      </c>
      <c r="B56" s="60">
        <f t="shared" ref="B56:B64" si="8">SUM(C56:E56)</f>
        <v>0</v>
      </c>
      <c r="C56" s="60">
        <f>'Pro Forma Adj'!V57</f>
        <v>0</v>
      </c>
      <c r="D56" s="60">
        <f>'Pro Forma Adj'!W57</f>
        <v>0</v>
      </c>
      <c r="E56" s="60"/>
    </row>
    <row r="57" spans="1:5" x14ac:dyDescent="0.3">
      <c r="A57" s="13" t="s">
        <v>51</v>
      </c>
      <c r="B57" s="60">
        <f t="shared" si="8"/>
        <v>0</v>
      </c>
      <c r="C57" s="60">
        <f>'Pro Forma Adj'!V58</f>
        <v>0</v>
      </c>
      <c r="D57" s="60">
        <f>'Pro Forma Adj'!W58</f>
        <v>0</v>
      </c>
      <c r="E57" s="60"/>
    </row>
    <row r="58" spans="1:5" x14ac:dyDescent="0.3">
      <c r="A58" s="13" t="s">
        <v>52</v>
      </c>
      <c r="B58" s="60">
        <f t="shared" si="8"/>
        <v>120288.25510121686</v>
      </c>
      <c r="C58" s="60">
        <f>'Pro Forma Adj'!V59</f>
        <v>101554.06987039014</v>
      </c>
      <c r="D58" s="60">
        <f>'Pro Forma Adj'!W59</f>
        <v>18734.185230826712</v>
      </c>
      <c r="E58" s="60"/>
    </row>
    <row r="59" spans="1:5" x14ac:dyDescent="0.3">
      <c r="A59" s="13" t="s">
        <v>53</v>
      </c>
      <c r="B59" s="60">
        <f t="shared" si="8"/>
        <v>0</v>
      </c>
      <c r="C59" s="60">
        <f>'Pro Forma Adj'!V60</f>
        <v>0</v>
      </c>
      <c r="D59" s="60">
        <f>'Pro Forma Adj'!W60</f>
        <v>0</v>
      </c>
      <c r="E59" s="60"/>
    </row>
    <row r="60" spans="1:5" x14ac:dyDescent="0.3">
      <c r="A60" s="13" t="s">
        <v>54</v>
      </c>
      <c r="B60" s="60">
        <f t="shared" si="8"/>
        <v>0</v>
      </c>
      <c r="C60" s="60">
        <f>'Pro Forma Adj'!V61</f>
        <v>0</v>
      </c>
      <c r="D60" s="60">
        <f>'Pro Forma Adj'!W61</f>
        <v>0</v>
      </c>
      <c r="E60" s="60"/>
    </row>
    <row r="61" spans="1:5" x14ac:dyDescent="0.3">
      <c r="A61" s="13" t="s">
        <v>55</v>
      </c>
      <c r="B61" s="60">
        <f t="shared" si="8"/>
        <v>0</v>
      </c>
      <c r="C61" s="60">
        <f>'Pro Forma Adj'!V62</f>
        <v>0</v>
      </c>
      <c r="D61" s="60">
        <f>'Pro Forma Adj'!W62</f>
        <v>0</v>
      </c>
      <c r="E61" s="60"/>
    </row>
    <row r="62" spans="1:5" x14ac:dyDescent="0.3">
      <c r="A62" s="13" t="s">
        <v>56</v>
      </c>
      <c r="B62" s="60">
        <f t="shared" si="8"/>
        <v>0</v>
      </c>
      <c r="C62" s="60">
        <f>'Pro Forma Adj'!V63</f>
        <v>0</v>
      </c>
      <c r="D62" s="60">
        <f>'Pro Forma Adj'!W63</f>
        <v>0</v>
      </c>
      <c r="E62" s="60"/>
    </row>
    <row r="63" spans="1:5" x14ac:dyDescent="0.3">
      <c r="A63" s="13"/>
      <c r="B63" s="12">
        <f t="shared" si="8"/>
        <v>0</v>
      </c>
      <c r="C63" s="12">
        <f>'Pro Forma Adj'!V64</f>
        <v>0</v>
      </c>
      <c r="D63" s="12">
        <f>'Pro Forma Adj'!W64</f>
        <v>0</v>
      </c>
      <c r="E63" s="12"/>
    </row>
    <row r="64" spans="1:5" x14ac:dyDescent="0.3">
      <c r="A64" s="13" t="s">
        <v>57</v>
      </c>
      <c r="B64" s="204">
        <f t="shared" si="8"/>
        <v>120288.25510121686</v>
      </c>
      <c r="C64" s="204">
        <f t="shared" ref="C64:D64" si="9">SUM(C56:C63)</f>
        <v>101554.06987039014</v>
      </c>
      <c r="D64" s="204">
        <f t="shared" si="9"/>
        <v>18734.185230826712</v>
      </c>
      <c r="E64" s="12"/>
    </row>
    <row r="65" spans="1:5" x14ac:dyDescent="0.3">
      <c r="A65" s="13"/>
      <c r="B65" s="12"/>
      <c r="C65" s="12"/>
      <c r="D65" s="12"/>
      <c r="E65" s="12"/>
    </row>
    <row r="66" spans="1:5" ht="12.9" thickBot="1" x14ac:dyDescent="0.35">
      <c r="A66" s="13" t="s">
        <v>58</v>
      </c>
      <c r="B66" s="214">
        <f>SUM(C66:E66)</f>
        <v>-368954.8899502203</v>
      </c>
      <c r="C66" s="214">
        <f t="shared" ref="C66:D66" si="10">C53+C64</f>
        <v>-311492.34512960946</v>
      </c>
      <c r="D66" s="214">
        <f t="shared" si="10"/>
        <v>-57462.544820610856</v>
      </c>
      <c r="E66" s="13"/>
    </row>
    <row r="67" spans="1:5" ht="12.9" thickTop="1" x14ac:dyDescent="0.3">
      <c r="A67" s="13"/>
      <c r="B67" s="12"/>
      <c r="C67" s="12"/>
      <c r="D67" s="12"/>
      <c r="E67" s="12"/>
    </row>
    <row r="68" spans="1:5" x14ac:dyDescent="0.3">
      <c r="A68" s="13"/>
      <c r="B68" s="12"/>
      <c r="C68" s="12"/>
      <c r="D68" s="12"/>
      <c r="E68" s="12"/>
    </row>
    <row r="69" spans="1:5" s="134" customFormat="1" x14ac:dyDescent="0.3">
      <c r="A69" s="16" t="s">
        <v>91</v>
      </c>
      <c r="B69" s="16">
        <f t="shared" ref="B69:D69" si="11">(((B39+Unadj_Op_revenue)/(B66+Unadj_rate_base))-Weighted_cost_debt-Weighted_cost_pref)/Percent_common-Unadj_ROE</f>
        <v>1.0893551855071071E-2</v>
      </c>
      <c r="C69" s="16">
        <f t="shared" si="11"/>
        <v>1.0885443423213723E-2</v>
      </c>
      <c r="D69" s="16">
        <f t="shared" si="11"/>
        <v>6.1121615622823644E-4</v>
      </c>
      <c r="E69" s="16"/>
    </row>
    <row r="70" spans="1:5" x14ac:dyDescent="0.3">
      <c r="A70" s="13" t="s">
        <v>6</v>
      </c>
      <c r="B70" s="189">
        <f>SUM(C70:E70)</f>
        <v>-7362678.9113482116</v>
      </c>
      <c r="C70" s="189">
        <f t="shared" ref="C70:D70" si="12">-(C39-(C66*Overall_ROR))/gross_up_factor</f>
        <v>-7357262.9805137087</v>
      </c>
      <c r="D70" s="189">
        <f t="shared" si="12"/>
        <v>-5415.930834502482</v>
      </c>
      <c r="E70" s="189"/>
    </row>
    <row r="71" spans="1:5" x14ac:dyDescent="0.3">
      <c r="A71" s="13"/>
      <c r="B71" s="16"/>
      <c r="C71" s="16"/>
      <c r="D71" s="16"/>
      <c r="E71" s="16"/>
    </row>
    <row r="72" spans="1:5" x14ac:dyDescent="0.3">
      <c r="A72" s="13" t="s">
        <v>60</v>
      </c>
      <c r="B72" s="12"/>
      <c r="C72" s="12"/>
      <c r="D72" s="12"/>
      <c r="E72" s="12"/>
    </row>
    <row r="73" spans="1:5" x14ac:dyDescent="0.3">
      <c r="A73" s="13" t="s">
        <v>61</v>
      </c>
      <c r="B73" s="189">
        <f t="shared" ref="B73:B79" si="13">SUM(C73:E73)</f>
        <v>7011257.8506784029</v>
      </c>
      <c r="C73" s="189">
        <f t="shared" ref="C73:D73" si="14">C15-C28-C29-C30-C31-C36</f>
        <v>7011257.8506784029</v>
      </c>
      <c r="D73" s="189">
        <f t="shared" si="14"/>
        <v>0</v>
      </c>
      <c r="E73" s="189"/>
    </row>
    <row r="74" spans="1:5" x14ac:dyDescent="0.3">
      <c r="A74" s="13" t="s">
        <v>62</v>
      </c>
      <c r="B74" s="12">
        <f t="shared" si="13"/>
        <v>0</v>
      </c>
      <c r="C74" s="12">
        <f>'Pro Forma Adj'!V75</f>
        <v>0</v>
      </c>
      <c r="D74" s="12">
        <f>'Pro Forma Adj'!W75</f>
        <v>0</v>
      </c>
      <c r="E74" s="12"/>
    </row>
    <row r="75" spans="1:5" x14ac:dyDescent="0.3">
      <c r="A75" s="13" t="s">
        <v>63</v>
      </c>
      <c r="B75" s="58">
        <f t="shared" si="13"/>
        <v>0</v>
      </c>
      <c r="C75" s="58">
        <f>'Pro Forma Adj'!V76</f>
        <v>0</v>
      </c>
      <c r="D75" s="58">
        <f>'Pro Forma Adj'!W76</f>
        <v>0</v>
      </c>
      <c r="E75" s="58"/>
    </row>
    <row r="76" spans="1:5" x14ac:dyDescent="0.3">
      <c r="A76" s="13" t="s">
        <v>64</v>
      </c>
      <c r="B76" s="58">
        <f t="shared" si="13"/>
        <v>0</v>
      </c>
      <c r="C76" s="58">
        <f>'Pro Forma Adj'!V77</f>
        <v>0</v>
      </c>
      <c r="D76" s="58">
        <f>'Pro Forma Adj'!W77</f>
        <v>0</v>
      </c>
      <c r="E76" s="58"/>
    </row>
    <row r="77" spans="1:5" x14ac:dyDescent="0.3">
      <c r="A77" s="13" t="s">
        <v>65</v>
      </c>
      <c r="B77" s="58">
        <f t="shared" si="13"/>
        <v>0</v>
      </c>
      <c r="C77" s="58">
        <f>'Pro Forma Adj'!V78</f>
        <v>0</v>
      </c>
      <c r="D77" s="58">
        <f>'Pro Forma Adj'!W78</f>
        <v>0</v>
      </c>
      <c r="E77" s="58"/>
    </row>
    <row r="78" spans="1:5" x14ac:dyDescent="0.3">
      <c r="A78" s="13" t="s">
        <v>66</v>
      </c>
      <c r="B78" s="64">
        <f t="shared" si="13"/>
        <v>826092.83000000054</v>
      </c>
      <c r="C78" s="64">
        <f>'Pro Forma Adj'!V79</f>
        <v>826092.83000000054</v>
      </c>
      <c r="D78" s="64">
        <f>'Pro Forma Adj'!W79</f>
        <v>0</v>
      </c>
      <c r="E78" s="58"/>
    </row>
    <row r="79" spans="1:5" x14ac:dyDescent="0.3">
      <c r="A79" s="13" t="s">
        <v>67</v>
      </c>
      <c r="B79" s="13">
        <f t="shared" si="13"/>
        <v>6185165.0206784029</v>
      </c>
      <c r="C79" s="13">
        <f t="shared" ref="C79:D79" si="15">C73-C75-C76+C77-C78</f>
        <v>6185165.0206784029</v>
      </c>
      <c r="D79" s="13">
        <f t="shared" si="15"/>
        <v>0</v>
      </c>
      <c r="E79" s="13"/>
    </row>
    <row r="80" spans="1:5" x14ac:dyDescent="0.3">
      <c r="A80" s="13"/>
      <c r="B80" s="12"/>
      <c r="C80" s="12"/>
      <c r="D80" s="12"/>
      <c r="E80" s="12"/>
    </row>
    <row r="81" spans="1:5" x14ac:dyDescent="0.3">
      <c r="A81" s="13" t="s">
        <v>68</v>
      </c>
      <c r="B81" s="12">
        <f>SUM(C81:E81)</f>
        <v>0</v>
      </c>
      <c r="C81" s="12">
        <v>0</v>
      </c>
      <c r="D81" s="12">
        <v>0</v>
      </c>
      <c r="E81" s="12"/>
    </row>
    <row r="82" spans="1:5" ht="12.9" thickBot="1" x14ac:dyDescent="0.35">
      <c r="A82" s="13" t="s">
        <v>69</v>
      </c>
      <c r="B82" s="235">
        <f>SUM(C82:E82)</f>
        <v>6185165.0206784029</v>
      </c>
      <c r="C82" s="235">
        <f t="shared" ref="C82:D82" si="16">C79-C81</f>
        <v>6185165.0206784029</v>
      </c>
      <c r="D82" s="235">
        <f t="shared" si="16"/>
        <v>0</v>
      </c>
      <c r="E82" s="12"/>
    </row>
    <row r="83" spans="1:5" x14ac:dyDescent="0.3">
      <c r="A83" s="13"/>
      <c r="B83" s="12"/>
      <c r="C83" s="12"/>
      <c r="D83" s="12"/>
      <c r="E83" s="12"/>
    </row>
    <row r="84" spans="1:5" x14ac:dyDescent="0.3">
      <c r="A84" s="13" t="s">
        <v>79</v>
      </c>
      <c r="B84" s="12">
        <f>SUM(C84:E84)</f>
        <v>1298884.6543424646</v>
      </c>
      <c r="C84" s="12">
        <f t="shared" ref="C84:D84" si="17">C82*0.21</f>
        <v>1298884.6543424646</v>
      </c>
      <c r="D84" s="12">
        <f t="shared" si="17"/>
        <v>0</v>
      </c>
      <c r="E84" s="12"/>
    </row>
    <row r="85" spans="1:5" x14ac:dyDescent="0.3">
      <c r="A85" s="13" t="s">
        <v>126</v>
      </c>
      <c r="B85" s="12">
        <f>SUM(C85:E85)</f>
        <v>0</v>
      </c>
      <c r="C85" s="12"/>
      <c r="D85" s="12"/>
      <c r="E85" s="12"/>
    </row>
    <row r="86" spans="1:5" ht="12.9" thickBot="1" x14ac:dyDescent="0.35">
      <c r="A86" s="13" t="s">
        <v>81</v>
      </c>
      <c r="B86" s="242">
        <f>SUM(C86:E86)</f>
        <v>1298884.6543424646</v>
      </c>
      <c r="C86" s="242">
        <f t="shared" ref="C86:D86" si="18">C84+C85</f>
        <v>1298884.6543424646</v>
      </c>
      <c r="D86" s="242">
        <f t="shared" si="18"/>
        <v>0</v>
      </c>
      <c r="E86" s="12"/>
    </row>
    <row r="87" spans="1:5" ht="12.9" thickTop="1" x14ac:dyDescent="0.3">
      <c r="A87" s="13"/>
      <c r="B87" s="13"/>
      <c r="C87" s="13"/>
      <c r="D87" s="13"/>
      <c r="E87" s="13"/>
    </row>
    <row r="88" spans="1:5" x14ac:dyDescent="0.3">
      <c r="A88" s="13"/>
      <c r="B88" s="14"/>
      <c r="C88" s="14"/>
      <c r="D88" s="14"/>
      <c r="E88" s="13"/>
    </row>
    <row r="89" spans="1:5" x14ac:dyDescent="0.3">
      <c r="A89" s="19"/>
      <c r="B89" s="12"/>
      <c r="C89" s="12"/>
      <c r="D89" s="12"/>
      <c r="E89" s="12"/>
    </row>
    <row r="90" spans="1:5" x14ac:dyDescent="0.3">
      <c r="A90" s="13"/>
      <c r="B90" s="12"/>
      <c r="C90" s="12"/>
      <c r="D90" s="12"/>
      <c r="E90" s="12"/>
    </row>
    <row r="91" spans="1:5" x14ac:dyDescent="0.3">
      <c r="A91" s="13"/>
      <c r="B91" s="134"/>
      <c r="C91" s="134"/>
      <c r="D91" s="134"/>
    </row>
    <row r="92" spans="1:5" x14ac:dyDescent="0.3">
      <c r="A92" s="240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Other Adjustments - Rate Year 2 (Tab 16)
PRO FORMA&amp;10
&amp;R&amp;12Page 16.0.&amp;P
&amp;10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966A-9C52-465E-A0E1-EA5880C77928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E07A9-5070-4638-B358-8FAFF8EE9461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2a4fe44-92e9-4b25-a295-61171c6c6d1a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AB5881-497E-4450-A84D-D82DF8C1BAE8}"/>
</file>

<file path=customXml/itemProps3.xml><?xml version="1.0" encoding="utf-8"?>
<ds:datastoreItem xmlns:ds="http://schemas.openxmlformats.org/officeDocument/2006/customXml" ds:itemID="{6C9B5A2F-771B-4673-960D-17407EA0AA47}"/>
</file>

<file path=customXml/itemProps4.xml><?xml version="1.0" encoding="utf-8"?>
<ds:datastoreItem xmlns:ds="http://schemas.openxmlformats.org/officeDocument/2006/customXml" ds:itemID="{0306F2DE-6190-4B22-ADF1-13A8C32A4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38</vt:i4>
      </vt:variant>
    </vt:vector>
  </HeadingPairs>
  <TitlesOfParts>
    <vt:vector size="51" baseType="lpstr">
      <vt:lpstr>Summary</vt:lpstr>
      <vt:lpstr>Pro Forma Adj</vt:lpstr>
      <vt:lpstr>ROR &amp; Conversion Factor</vt:lpstr>
      <vt:lpstr>Interest Calc-Exh JH-4</vt:lpstr>
      <vt:lpstr>COMPARISON</vt:lpstr>
      <vt:lpstr>Exhibit No. SLC-3 pg 1</vt:lpstr>
      <vt:lpstr>Exhibit No. SLC-3 pg 2 - 3</vt:lpstr>
      <vt:lpstr>Exhibit No. SLC-5 pg 3</vt:lpstr>
      <vt:lpstr>Tab 13</vt:lpstr>
      <vt:lpstr>Tab 14</vt:lpstr>
      <vt:lpstr>Tab 15</vt:lpstr>
      <vt:lpstr>Tab 16</vt:lpstr>
      <vt:lpstr>Sheet1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COMPARISON!Print_Area</vt:lpstr>
      <vt:lpstr>'Exhibit No. SLC-3 pg 1'!Print_Area</vt:lpstr>
      <vt:lpstr>'Exhibit No. SLC-3 pg 2 - 3'!Print_Area</vt:lpstr>
      <vt:lpstr>'Exhibit No. SLC-5 pg 3'!Print_Area</vt:lpstr>
      <vt:lpstr>'Pro Forma Adj'!Print_Area</vt:lpstr>
      <vt:lpstr>'ROR &amp; Conversion Factor'!Print_Area</vt:lpstr>
      <vt:lpstr>Summary!Print_Area</vt:lpstr>
      <vt:lpstr>'Tab 13'!Print_Area</vt:lpstr>
      <vt:lpstr>'Tab 14'!Print_Area</vt:lpstr>
      <vt:lpstr>'Tab 15'!Print_Area</vt:lpstr>
      <vt:lpstr>'Tab 16'!Print_Area</vt:lpstr>
      <vt:lpstr>COMPARISON!Print_for_CBReport</vt:lpstr>
      <vt:lpstr>'Exhibit No. SLC-3 pg 2 - 3'!Print_Titles</vt:lpstr>
      <vt:lpstr>'Pro Forma Adj'!Print_Titles</vt:lpstr>
      <vt:lpstr>'Tab 13'!Print_Titles</vt:lpstr>
      <vt:lpstr>'Tab 14'!Print_Titles</vt:lpstr>
      <vt:lpstr>'Tab 15'!Print_Titles</vt:lpstr>
      <vt:lpstr>'Tab 16'!Print_Titles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Huang, Joanna (UTC)</cp:lastModifiedBy>
  <cp:lastPrinted>2023-09-06T21:48:51Z</cp:lastPrinted>
  <dcterms:created xsi:type="dcterms:W3CDTF">2009-02-17T19:17:29Z</dcterms:created>
  <dcterms:modified xsi:type="dcterms:W3CDTF">2023-09-07T16:15:08Z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