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5521" windowWidth="16620" windowHeight="11640" tabRatio="966" activeTab="0"/>
  </bookViews>
  <sheets>
    <sheet name="MRM-12Property Tax for 2011 GRC" sheetId="1" r:id="rId1"/>
    <sheet name="MRM-13 Commission's Calc" sheetId="2" r:id="rId2"/>
    <sheet name="MRM-14 Alternative Calculation" sheetId="3" r:id="rId3"/>
    <sheet name="2010 Electric WA Final" sheetId="4" r:id="rId4"/>
    <sheet name="2010 Electric MT Final" sheetId="5" r:id="rId5"/>
    <sheet name="2010 Electric OR Final" sheetId="6" r:id="rId6"/>
    <sheet name="2010 Electric True Up" sheetId="7" r:id="rId7"/>
    <sheet name="2010 Gas Final" sheetId="8" r:id="rId8"/>
    <sheet name="2010 Gas True Up" sheetId="9" r:id="rId9"/>
    <sheet name="12-31-2010 Final SAP" sheetId="10" r:id="rId10"/>
    <sheet name="Surface water mtg fee" sheetId="11" r:id="rId11"/>
    <sheet name="Additions post Jan 1 2010" sheetId="12" r:id="rId12"/>
    <sheet name="MT additions post Jan 1 2010" sheetId="13" r:id="rId13"/>
    <sheet name="Additions - monthly detail" sheetId="14" r:id="rId14"/>
  </sheets>
  <definedNames>
    <definedName name="\0">#REF!</definedName>
    <definedName name="_Fill" hidden="1">#REF!</definedName>
    <definedName name="APPR">#REF!</definedName>
    <definedName name="INDEX">#REF!</definedName>
    <definedName name="_xlnm.Print_Area" localSheetId="13">'Additions - monthly detail'!$A$1:$P$83</definedName>
    <definedName name="_xlnm.Print_Area" localSheetId="0">'MRM-12Property Tax for 2011 GRC'!$A$1:$J$30</definedName>
    <definedName name="_xlnm.Print_Area" localSheetId="1">'MRM-13 Commission''s Calc'!$A$1:$I$31</definedName>
    <definedName name="_xlnm.Print_Area" localSheetId="2">'MRM-14 Alternative Calculation'!$A$1:$I$57</definedName>
    <definedName name="_xlnm.Print_Titles" localSheetId="13">'Additions - monthly detail'!$A:$B,'Additions - monthly detail'!$1:$5</definedName>
    <definedName name="_xlnm.Print_Titles" localSheetId="2">'MRM-14 Alternative Calculation'!$1:$7</definedName>
    <definedName name="SHEET_1">#REF!</definedName>
    <definedName name="SHEET_2">#REF!</definedName>
    <definedName name="WSA">#REF!</definedName>
    <definedName name="WSB">#REF!</definedName>
    <definedName name="WSC">#REF!</definedName>
  </definedNames>
  <calcPr fullCalcOnLoad="1"/>
</workbook>
</file>

<file path=xl/sharedStrings.xml><?xml version="1.0" encoding="utf-8"?>
<sst xmlns="http://schemas.openxmlformats.org/spreadsheetml/2006/main" count="573" uniqueCount="299">
  <si>
    <t>PUGET SOUND ENERGY</t>
  </si>
  <si>
    <t>PROPERTY TAX DEPT</t>
  </si>
  <si>
    <t>ELECTRIC</t>
  </si>
  <si>
    <t>GAS</t>
  </si>
  <si>
    <t>Oregon</t>
  </si>
  <si>
    <t>Taxes</t>
  </si>
  <si>
    <t>Total Est</t>
  </si>
  <si>
    <t>Montana</t>
  </si>
  <si>
    <t>Estimate</t>
  </si>
  <si>
    <t>Jan-Jun</t>
  </si>
  <si>
    <t>Jul-Dec</t>
  </si>
  <si>
    <t>(actual 6 mo.)</t>
  </si>
  <si>
    <t>Actual</t>
  </si>
  <si>
    <t xml:space="preserve">Actual </t>
  </si>
  <si>
    <t>Actaul</t>
  </si>
  <si>
    <t>Test year plant subject to centrally assessed taxation</t>
  </si>
  <si>
    <t>Taxable Value</t>
  </si>
  <si>
    <t>Total</t>
  </si>
  <si>
    <t>Centrally Assessed Property Taxes</t>
  </si>
  <si>
    <t>Test year property taxes</t>
  </si>
  <si>
    <t>Surface water management (usually from cities)</t>
  </si>
  <si>
    <t>Special assessments on centrally assessed property billed separately</t>
  </si>
  <si>
    <t>Property Tax Dept</t>
  </si>
  <si>
    <t xml:space="preserve">Total Centrally </t>
  </si>
  <si>
    <t>Locally</t>
  </si>
  <si>
    <t>ID #</t>
  </si>
  <si>
    <t>COUNTY</t>
  </si>
  <si>
    <t>Centrally Assessed Taxes</t>
  </si>
  <si>
    <t xml:space="preserve">Assessed </t>
  </si>
  <si>
    <t>Assessed</t>
  </si>
  <si>
    <t>Special</t>
  </si>
  <si>
    <t>Total Taxes</t>
  </si>
  <si>
    <t>Real</t>
  </si>
  <si>
    <t>Personal</t>
  </si>
  <si>
    <t xml:space="preserve">ADAMS </t>
  </si>
  <si>
    <t>CHELAN</t>
  </si>
  <si>
    <t>COLUMBIA</t>
  </si>
  <si>
    <t>COWLITZ</t>
  </si>
  <si>
    <t xml:space="preserve">DOUGLAS </t>
  </si>
  <si>
    <t>GRANT</t>
  </si>
  <si>
    <t>ISLAND</t>
  </si>
  <si>
    <t>JEFFERSON</t>
  </si>
  <si>
    <t>KING</t>
  </si>
  <si>
    <t>KITSAP</t>
  </si>
  <si>
    <t>KITTITAS</t>
  </si>
  <si>
    <t>KITTITAS-3</t>
  </si>
  <si>
    <t>KLICKITAT</t>
  </si>
  <si>
    <t>LEWIS</t>
  </si>
  <si>
    <t>PIERCE</t>
  </si>
  <si>
    <t>SKAGIT</t>
  </si>
  <si>
    <t>SNOHOMISH</t>
  </si>
  <si>
    <t>SPOKANE</t>
  </si>
  <si>
    <t>THURSTON</t>
  </si>
  <si>
    <t>WHATCOM</t>
  </si>
  <si>
    <t>Total Payment</t>
  </si>
  <si>
    <t>(Over) / Under Accrual</t>
  </si>
  <si>
    <t>Electric</t>
  </si>
  <si>
    <t>Puget  Sound Energy</t>
  </si>
  <si>
    <t>TOTAL CENTRALLY</t>
  </si>
  <si>
    <t>LOCALLY</t>
  </si>
  <si>
    <t xml:space="preserve">   CENTRALLY ASSESSED </t>
  </si>
  <si>
    <t>ASSESSED</t>
  </si>
  <si>
    <t>ID#</t>
  </si>
  <si>
    <t>REAL</t>
  </si>
  <si>
    <t>PERSONAL</t>
  </si>
  <si>
    <t>TAXES</t>
  </si>
  <si>
    <t>Line</t>
  </si>
  <si>
    <t>A</t>
  </si>
  <si>
    <t>B</t>
  </si>
  <si>
    <t>C</t>
  </si>
  <si>
    <t>D</t>
  </si>
  <si>
    <t>E</t>
  </si>
  <si>
    <t>F</t>
  </si>
  <si>
    <t>G</t>
  </si>
  <si>
    <t>H</t>
  </si>
  <si>
    <t>Subtotal</t>
  </si>
  <si>
    <t>Grand</t>
  </si>
  <si>
    <t>NA</t>
  </si>
  <si>
    <t>Locally assessed property tax</t>
  </si>
  <si>
    <t>System Ratio</t>
  </si>
  <si>
    <t>Levy Rates</t>
  </si>
  <si>
    <t>Estimated 2010 Property Tax</t>
  </si>
  <si>
    <t>PART 3:  Total Property Tax Included in the GRC</t>
  </si>
  <si>
    <t>Test year property taxes (Grand Total, line 20 + line 42)</t>
  </si>
  <si>
    <t>Puget Sound Energy</t>
  </si>
  <si>
    <t>Surface Water MTG Fees</t>
  </si>
  <si>
    <t>WA-Electric</t>
  </si>
  <si>
    <t>WA-GAS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</si>
  <si>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</si>
  <si>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</si>
  <si>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</si>
  <si>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</si>
  <si>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</si>
  <si>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</si>
  <si>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</si>
  <si>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</si>
  <si>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</si>
  <si>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</si>
  <si>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</si>
  <si>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</si>
  <si>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Washington</t>
  </si>
  <si>
    <t>Gas</t>
  </si>
  <si>
    <t xml:space="preserve">Puget Sound Energy </t>
  </si>
  <si>
    <t>Balance Sheet Extract</t>
  </si>
  <si>
    <t>col</t>
  </si>
  <si>
    <t>Net Additions/</t>
  </si>
  <si>
    <t>row</t>
  </si>
  <si>
    <t>Account</t>
  </si>
  <si>
    <t>Account Description</t>
  </si>
  <si>
    <t>Retirements</t>
  </si>
  <si>
    <t>Eletric</t>
  </si>
  <si>
    <t>Common</t>
  </si>
  <si>
    <t>Electric - Plant in Service - PP</t>
  </si>
  <si>
    <t>Gas - Plant in Service - PP</t>
  </si>
  <si>
    <t>Common - Plant in Service - PP</t>
  </si>
  <si>
    <t>10110011</t>
  </si>
  <si>
    <t>Fredonia Turbines Capital Lease</t>
  </si>
  <si>
    <t>10110021</t>
  </si>
  <si>
    <t>Fredonia Lease Prepaid Sales Tax</t>
  </si>
  <si>
    <t>Electric - Plant Held for Future Use -</t>
  </si>
  <si>
    <t>Gas - Plant Held for Future Use - PP</t>
  </si>
  <si>
    <t>Electric Plant - NOT CLASSIFIED - PP</t>
  </si>
  <si>
    <t>Gas - Plant - NOT CLASSIFIED - PP</t>
  </si>
  <si>
    <t>10600503</t>
  </si>
  <si>
    <t>Common - Plant - NOT CLASSIFIED - PP</t>
  </si>
  <si>
    <t>Construction Support Clearing - Common</t>
  </si>
  <si>
    <t>CWIP/Retention Clearing (Debit) - Electric</t>
  </si>
  <si>
    <t>CWIP/Retention Clearing (Debit) - Gas</t>
  </si>
  <si>
    <t>CWIP SP Accrual - Electric</t>
  </si>
  <si>
    <t>CWIP SP Accrual - Gas</t>
  </si>
  <si>
    <t>Electric - Construction Work in Progres</t>
  </si>
  <si>
    <t>Gas - Construction Work in Progress - P</t>
  </si>
  <si>
    <t>Common - Construction Work in Progress</t>
  </si>
  <si>
    <t>Accum Depreciation Non-legal Cost of Removal</t>
  </si>
  <si>
    <t>Contra Accum Depreciation Non-legal Cost of Remova</t>
  </si>
  <si>
    <t>Elec-Accum Depreciation -PP</t>
  </si>
  <si>
    <t>GAS-Accum Depreciation -PP</t>
  </si>
  <si>
    <t>Common-Accum Depreciation -PP</t>
  </si>
  <si>
    <t>Elec-RWIP-CED3 C.O.R./Salvage-PP</t>
  </si>
  <si>
    <t>Common-RWIP-RET1 C.O.R./Salvage PP</t>
  </si>
  <si>
    <t xml:space="preserve">Gas-RWIP-RET1 C.O.R./Salvage PP    </t>
  </si>
  <si>
    <t>Electric-Accum Amortization - PP</t>
  </si>
  <si>
    <t>GAS-Accum Amortization - PP</t>
  </si>
  <si>
    <t>Common-Accum Amortization - PP</t>
  </si>
  <si>
    <t>Electric - Plant Acq Adj. Milwaukee RR</t>
  </si>
  <si>
    <t>Electric - Plant Acq Adj. DuPont</t>
  </si>
  <si>
    <t>Acquisition Adjustment - Encogen</t>
  </si>
  <si>
    <t>Mint Farm - Electric Plant Acquisition Adjustments</t>
  </si>
  <si>
    <t>11400071</t>
  </si>
  <si>
    <t>Whitehorn - Electric Plant Acquisition</t>
  </si>
  <si>
    <t>Accum Amort Acq Adj. Milwaukee RR - Electric</t>
  </si>
  <si>
    <t>Accum Amort Acq Adj. DuPont - Electric</t>
  </si>
  <si>
    <t>Accumulated Amort Acqu Adj. - Encogen</t>
  </si>
  <si>
    <t>11500041</t>
  </si>
  <si>
    <t>Accum Amort Acquis Adjust - Mint Farm</t>
  </si>
  <si>
    <t>11500051</t>
  </si>
  <si>
    <t>Accum Amort Acquis Adjust - Whitehorn</t>
  </si>
  <si>
    <t>Gas Stored at JP Reservoir - Noncurrent</t>
  </si>
  <si>
    <t>Balance Sheet Detail</t>
  </si>
  <si>
    <t>Net add/retire</t>
  </si>
  <si>
    <t>10110003</t>
  </si>
  <si>
    <t>BLC Vehicles Capital Lease</t>
  </si>
  <si>
    <t>Monthly Cumulative Change</t>
  </si>
  <si>
    <t>Quartly Cumulative Change</t>
  </si>
  <si>
    <t>Dec-09</t>
  </si>
  <si>
    <t>Mar-10</t>
  </si>
  <si>
    <t>Monthly Net Additions/Retirements</t>
  </si>
  <si>
    <t>COL A</t>
  </si>
  <si>
    <t>COL B</t>
  </si>
  <si>
    <t>COL C</t>
  </si>
  <si>
    <t>COL D</t>
  </si>
  <si>
    <t>Current Yr</t>
  </si>
  <si>
    <t>100% D.O.R.</t>
  </si>
  <si>
    <t>Average</t>
  </si>
  <si>
    <t>PROPERTY</t>
  </si>
  <si>
    <t>AVER. MILLAGE</t>
  </si>
  <si>
    <t>VALUATION</t>
  </si>
  <si>
    <t>County Ratio</t>
  </si>
  <si>
    <t>TAX</t>
  </si>
  <si>
    <t>(COL D / COL C</t>
  </si>
  <si>
    <t>(FACTOR SHEET)</t>
  </si>
  <si>
    <t>(CERTIFIED)</t>
  </si>
  <si>
    <t>(XREF FROM WSA)</t>
  </si>
  <si>
    <t>TIMES 1000)</t>
  </si>
  <si>
    <t>1.</t>
  </si>
  <si>
    <t>2.</t>
  </si>
  <si>
    <t>3.</t>
  </si>
  <si>
    <t>Total Centrally Assessed</t>
  </si>
  <si>
    <t>Locally Assessed</t>
  </si>
  <si>
    <t>AVERAGE</t>
  </si>
  <si>
    <t>COUNTY RATIO</t>
  </si>
  <si>
    <t>(DOR WKSHEET)</t>
  </si>
  <si>
    <t>(Col C/ Col A)</t>
  </si>
  <si>
    <t>(AS CERTIFIED)</t>
  </si>
  <si>
    <t>B + C</t>
  </si>
  <si>
    <t>D + E + F</t>
  </si>
  <si>
    <t>Summary By County</t>
  </si>
  <si>
    <t>Due 11/15/2009</t>
  </si>
  <si>
    <t>Assessement</t>
  </si>
  <si>
    <t>Mill rate</t>
  </si>
  <si>
    <t>County</t>
  </si>
  <si>
    <t>Per Invoice</t>
  </si>
  <si>
    <t>Full</t>
  </si>
  <si>
    <t>Due</t>
  </si>
  <si>
    <t>2/3</t>
  </si>
  <si>
    <t>1/3</t>
  </si>
  <si>
    <t>Clackmas</t>
  </si>
  <si>
    <t>Crook</t>
  </si>
  <si>
    <t>Deschutes</t>
  </si>
  <si>
    <t>Douglas</t>
  </si>
  <si>
    <t>Jackson</t>
  </si>
  <si>
    <t>Jefferson</t>
  </si>
  <si>
    <t>Klamath</t>
  </si>
  <si>
    <t>Lake</t>
  </si>
  <si>
    <t>Lane</t>
  </si>
  <si>
    <t>Linn</t>
  </si>
  <si>
    <t>Marion</t>
  </si>
  <si>
    <t>Sherman</t>
  </si>
  <si>
    <t>Wasco</t>
  </si>
  <si>
    <t>SITUS</t>
  </si>
  <si>
    <t>PUGET T/L</t>
  </si>
  <si>
    <t>BPA BENEF USE</t>
  </si>
  <si>
    <t>AD VALOREM</t>
  </si>
  <si>
    <t>TOTAL TAXES</t>
  </si>
  <si>
    <t>BIG HORN</t>
  </si>
  <si>
    <t>BROADWATER</t>
  </si>
  <si>
    <t>DEER LODGE</t>
  </si>
  <si>
    <t>GOLDEN VALLEY</t>
  </si>
  <si>
    <t>GRANITE</t>
  </si>
  <si>
    <t>HILL</t>
  </si>
  <si>
    <t>LEWIS &amp; CLARK</t>
  </si>
  <si>
    <t>MEAGHER</t>
  </si>
  <si>
    <t>MINERAL</t>
  </si>
  <si>
    <t>MISSOULA</t>
  </si>
  <si>
    <t>MUSSELSHELL</t>
  </si>
  <si>
    <t>POWELL</t>
  </si>
  <si>
    <t>ROSEBUD</t>
  </si>
  <si>
    <t>ROSEBUD pollution</t>
  </si>
  <si>
    <t>SILVER BOW</t>
  </si>
  <si>
    <t>STILLWATER</t>
  </si>
  <si>
    <t>TREASURE</t>
  </si>
  <si>
    <t>WHEATLAND</t>
  </si>
  <si>
    <t>YELLOWSTONE</t>
  </si>
  <si>
    <t>Amount of Tax</t>
  </si>
  <si>
    <t>TOTAL</t>
  </si>
  <si>
    <t>Assessment</t>
  </si>
  <si>
    <t>LEVY RATES</t>
  </si>
  <si>
    <t>Explanation:  This calculation is consistant with the methodology that the Commission used in PSE's 2009 GRC Order 11.</t>
  </si>
  <si>
    <t>Estimated Property Taxes For 2011 Payable In 2012</t>
  </si>
  <si>
    <t>Lien Date:  January 1, 2011</t>
  </si>
  <si>
    <t>As of April 2011</t>
  </si>
  <si>
    <t>Final 1-1-10 DOR Value</t>
  </si>
  <si>
    <t>Est 1-1-11 DOR Value</t>
  </si>
  <si>
    <t>System Ratio 2010</t>
  </si>
  <si>
    <t>Levy Rates 2010</t>
  </si>
  <si>
    <t>December 31, 2010 Test Year</t>
  </si>
  <si>
    <t>Note that under this method, none of the property added during 2010 is taxed.</t>
  </si>
  <si>
    <t>Jan - Jun</t>
  </si>
  <si>
    <t>Jul - Dec</t>
  </si>
  <si>
    <t>PROPERTY TAXES FOR 2011 GRC  *** ALTERNATIVE CALCULATION ***</t>
  </si>
  <si>
    <t>PROPERTY TAXES FOR 2011 GRC *** USING THE COMMISSION'S METHOD ***</t>
  </si>
  <si>
    <t>PART 1:  Property Tax for Property Owned on January 1, 2010</t>
  </si>
  <si>
    <t>(6 months)</t>
  </si>
  <si>
    <t>Net additions and retirements from Jan 1 - Dec 31, 2010</t>
  </si>
  <si>
    <t>Locally assessed property tax 2010</t>
  </si>
  <si>
    <t>PART 2:  Property Tax for Property Purchased After January 1, 2010 and Before December 31, 2010</t>
  </si>
  <si>
    <t>ESTIMATED PROPERTY TAXES FOR 2010 Payable in 2011</t>
  </si>
  <si>
    <t>10-11</t>
  </si>
  <si>
    <t>Est 1-1-11 Increase</t>
  </si>
  <si>
    <t>Actual property taxes paid on assets owed on Jan 1, 2010</t>
  </si>
  <si>
    <t>12/31/2009 - 12/31/2010</t>
  </si>
  <si>
    <t>(January 1st, 2010)</t>
  </si>
  <si>
    <t>10700023</t>
  </si>
  <si>
    <t>CWIP/Retention Clearing (Debit) - Commo</t>
  </si>
  <si>
    <t>10700031</t>
  </si>
  <si>
    <t>CWIP - Purchasing Accrual - Electric</t>
  </si>
  <si>
    <t>Jun-10</t>
  </si>
  <si>
    <t>Sep-10</t>
  </si>
  <si>
    <t>Dec-10</t>
  </si>
  <si>
    <t>Dec 09 to Dec 10</t>
  </si>
  <si>
    <t>Test Year End</t>
  </si>
  <si>
    <t>allocate common 66.51% electric and 33.49% gas</t>
  </si>
  <si>
    <t>Estimated Property Tax for Test Year Assets</t>
  </si>
  <si>
    <t>C / B</t>
  </si>
  <si>
    <t>E / C x 1000</t>
  </si>
  <si>
    <t>GARFIELD</t>
  </si>
  <si>
    <t>Special Assessment</t>
  </si>
  <si>
    <t>payable in 2011</t>
  </si>
  <si>
    <t>2010 Washington Property Tax - Electric (WA)</t>
  </si>
  <si>
    <t>MISC BILLS</t>
  </si>
  <si>
    <t>2010 Accrual</t>
  </si>
  <si>
    <t>2010 Washington Property Tax - Gas</t>
  </si>
  <si>
    <t>2010 Washington Property Tax - Electric</t>
  </si>
  <si>
    <t>2010 Montana Property Tax - Electric</t>
  </si>
  <si>
    <t>2010 Oregon Property Tax - Electric</t>
  </si>
  <si>
    <t>2010 Y/E Acrual</t>
  </si>
  <si>
    <t>sprecial and local assessments</t>
  </si>
  <si>
    <t>Puget Sound Energy, Inc.</t>
  </si>
  <si>
    <t>PUGET SOUND ENERGY, INC.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</si>
</sst>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_(* #,##0_);_(* \(#,##0\);_(* &quot;-&quot;??_);_(@_)"/>
    <numFmt numFmtId="166" formatCode="#,##0.000_);\(#,##0.000\)"/>
    <numFmt numFmtId="167" formatCode="General_)"/>
    <numFmt numFmtId="168" formatCode="0.0000"/>
    <numFmt numFmtId="169" formatCode="#,##0.000000000_);\(#,##0.000000000\)"/>
    <numFmt numFmtId="170" formatCode="#,##0.00000000000000_);\(#,##0.00000000000000\)"/>
    <numFmt numFmtId="171" formatCode="0_);[Red]\(0\)"/>
    <numFmt numFmtId="172" formatCode="_(* #,##0.0_);_(* \(#,##0.0\);_(* &quot;-&quot;??_);_(@_)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0.0000%"/>
    <numFmt numFmtId="178" formatCode="mm/dd/yy_)"/>
    <numFmt numFmtId="179" formatCode="0.00_)"/>
    <numFmt numFmtId="180" formatCode="0.000%"/>
    <numFmt numFmtId="181" formatCode="#,##0.000_);[Red]\(#,##0.000\)"/>
    <numFmt numFmtId="182" formatCode="0.00_);\(0.00\)"/>
    <numFmt numFmtId="183" formatCode="mm/dd/yy"/>
    <numFmt numFmtId="184" formatCode="#,##0.0000_);[Red]\(#,##0.0000\)"/>
    <numFmt numFmtId="185" formatCode="#,##0.00000_);[Red]\(#,##0.00000\)"/>
    <numFmt numFmtId="186" formatCode="#,##0.000000_);[Red]\(#,##0.000000\)"/>
    <numFmt numFmtId="187" formatCode="0;[Red]0"/>
    <numFmt numFmtId="188" formatCode="0.000_);[Red]\(0.000\)"/>
    <numFmt numFmtId="189" formatCode="0.00_);[Red]\(0.00\)"/>
    <numFmt numFmtId="190" formatCode="#,##0.00000"/>
    <numFmt numFmtId="191" formatCode="#,##0.000"/>
    <numFmt numFmtId="192" formatCode="#,##0.0_);[Red]\(#,##0.0\)"/>
    <numFmt numFmtId="193" formatCode="#,##0.0000"/>
    <numFmt numFmtId="194" formatCode="0.000000"/>
    <numFmt numFmtId="195" formatCode="0.00000"/>
    <numFmt numFmtId="196" formatCode="#,##0.0000_);\(#,##0.0000\)"/>
    <numFmt numFmtId="197" formatCode="m/d/yy"/>
    <numFmt numFmtId="198" formatCode="0.0000_);[Red]\(0.0000\)"/>
    <numFmt numFmtId="199" formatCode="#,##0.0000000_);\(#,##0.0000000\)"/>
    <numFmt numFmtId="200" formatCode="#,##0.00000000_);\(#,##0.00000000\)"/>
    <numFmt numFmtId="201" formatCode="0.00000%"/>
    <numFmt numFmtId="202" formatCode="0.00000000"/>
    <numFmt numFmtId="203" formatCode="0.0000000"/>
    <numFmt numFmtId="204" formatCode="#,##0.0"/>
    <numFmt numFmtId="205" formatCode="0.0_);[Red]\(0.0\)"/>
    <numFmt numFmtId="206" formatCode="#,##0.000000_);\(#,##0.000000\)"/>
    <numFmt numFmtId="207" formatCode="mmmm\ yyyy"/>
    <numFmt numFmtId="208" formatCode="#,###_);[Red]\(#,###\)"/>
    <numFmt numFmtId="209" formatCode="_(&quot;$&quot;* #,##0_);_(&quot;$&quot;* \(#,##0\);_(&quot;$&quot;* &quot;-&quot;??_);_(@_)"/>
    <numFmt numFmtId="210" formatCode="mm/yy"/>
    <numFmt numFmtId="211" formatCode="_(* #,##0.00_);_(* \(#,##0.00\);_(* &quot;-&quot;_);_(@_)"/>
    <numFmt numFmtId="212" formatCode="[$-409]mmm\-yy;@"/>
    <numFmt numFmtId="213" formatCode="[$-409]mmmm\-yy;@"/>
    <numFmt numFmtId="214" formatCode="0.0"/>
    <numFmt numFmtId="215" formatCode="mm/dd/yyyy"/>
    <numFmt numFmtId="216" formatCode="#,##0.0_);\(#,##0.0\)"/>
    <numFmt numFmtId="217" formatCode="mm/dd/yy;@"/>
    <numFmt numFmtId="218" formatCode="0.000_)"/>
    <numFmt numFmtId="219" formatCode="[$-409]dddd\,\ mmmm\ dd\,\ yyyy"/>
    <numFmt numFmtId="220" formatCode="[$-409]mmmm\ d\,\ yyyy;@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9]d\-mmm;@"/>
    <numFmt numFmtId="226" formatCode="_(* #,##0.0_);_(* \(#,##0.0\);_(* &quot;-&quot;?_);_(@_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Calibri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Arial"/>
      <family val="0"/>
    </font>
    <font>
      <sz val="18.5"/>
      <color indexed="8"/>
      <name val="Arial"/>
      <family val="0"/>
    </font>
    <font>
      <b/>
      <sz val="17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4" fontId="0" fillId="0" borderId="0">
      <alignment/>
      <protection/>
    </xf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4" fillId="2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38" fontId="20" fillId="0" borderId="0">
      <alignment/>
      <protection/>
    </xf>
    <xf numFmtId="40" fontId="20" fillId="0" borderId="0">
      <alignment/>
      <protection/>
    </xf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10" fontId="4" fillId="22" borderId="6" applyNumberFormat="0" applyBorder="0" applyAlignment="0" applyProtection="0"/>
    <xf numFmtId="0" fontId="22" fillId="0" borderId="7" applyNumberFormat="0" applyFill="0" applyAlignment="0" applyProtection="0"/>
    <xf numFmtId="0" fontId="23" fillId="23" borderId="0" applyNumberFormat="0" applyBorder="0" applyAlignment="0" applyProtection="0"/>
    <xf numFmtId="179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67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25" fillId="20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4" fillId="0" borderId="10">
      <alignment/>
      <protection/>
    </xf>
    <xf numFmtId="38" fontId="20" fillId="0" borderId="11">
      <alignment/>
      <protection/>
    </xf>
    <xf numFmtId="194" fontId="0" fillId="0" borderId="0">
      <alignment horizontal="left" wrapText="1"/>
      <protection/>
    </xf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 quotePrefix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5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16" fontId="6" fillId="0" borderId="16" xfId="0" applyNumberFormat="1" applyFont="1" applyFill="1" applyBorder="1" applyAlignment="1" quotePrefix="1">
      <alignment horizontal="centerContinuous"/>
    </xf>
    <xf numFmtId="0" fontId="5" fillId="0" borderId="16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 quotePrefix="1">
      <alignment/>
    </xf>
    <xf numFmtId="37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37" fontId="5" fillId="0" borderId="13" xfId="0" applyNumberFormat="1" applyFont="1" applyFill="1" applyBorder="1" applyAlignment="1">
      <alignment/>
    </xf>
    <xf numFmtId="38" fontId="5" fillId="0" borderId="13" xfId="0" applyNumberFormat="1" applyFont="1" applyFill="1" applyBorder="1" applyAlignment="1">
      <alignment/>
    </xf>
    <xf numFmtId="10" fontId="5" fillId="0" borderId="14" xfId="0" applyNumberFormat="1" applyFont="1" applyFill="1" applyBorder="1" applyAlignment="1">
      <alignment/>
    </xf>
    <xf numFmtId="10" fontId="5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66" fontId="5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37" fontId="6" fillId="0" borderId="19" xfId="0" applyNumberFormat="1" applyFont="1" applyFill="1" applyBorder="1" applyAlignment="1">
      <alignment/>
    </xf>
    <xf numFmtId="38" fontId="5" fillId="0" borderId="17" xfId="0" applyNumberFormat="1" applyFont="1" applyFill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Fill="1" applyAlignment="1">
      <alignment horizontal="centerContinuous"/>
    </xf>
    <xf numFmtId="14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38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67" fontId="0" fillId="0" borderId="20" xfId="131" applyFont="1" applyFill="1" applyBorder="1" applyAlignment="1" applyProtection="1" quotePrefix="1">
      <alignment horizontal="center"/>
      <protection/>
    </xf>
    <xf numFmtId="167" fontId="0" fillId="0" borderId="0" xfId="131" applyFont="1" applyFill="1" applyAlignment="1" applyProtection="1">
      <alignment horizontal="left"/>
      <protection/>
    </xf>
    <xf numFmtId="167" fontId="0" fillId="0" borderId="0" xfId="131" applyFont="1" applyFill="1">
      <alignment/>
      <protection/>
    </xf>
    <xf numFmtId="167" fontId="0" fillId="0" borderId="0" xfId="132" applyFont="1" applyFill="1" applyAlignment="1" applyProtection="1">
      <alignment horizontal="right"/>
      <protection/>
    </xf>
    <xf numFmtId="167" fontId="0" fillId="0" borderId="0" xfId="132" applyFont="1" applyFill="1" applyAlignment="1" applyProtection="1">
      <alignment horizontal="left"/>
      <protection/>
    </xf>
    <xf numFmtId="40" fontId="3" fillId="0" borderId="0" xfId="131" applyNumberFormat="1" applyFont="1" applyFill="1" applyBorder="1">
      <alignment/>
      <protection/>
    </xf>
    <xf numFmtId="39" fontId="3" fillId="0" borderId="0" xfId="131" applyNumberFormat="1" applyFont="1" applyFill="1" applyBorder="1" applyProtection="1">
      <alignment/>
      <protection/>
    </xf>
    <xf numFmtId="167" fontId="0" fillId="0" borderId="0" xfId="131" applyFont="1" applyFill="1" applyBorder="1">
      <alignment/>
      <protection/>
    </xf>
    <xf numFmtId="40" fontId="0" fillId="0" borderId="0" xfId="131" applyNumberFormat="1" applyFont="1" applyFill="1" applyBorder="1">
      <alignment/>
      <protection/>
    </xf>
    <xf numFmtId="0" fontId="0" fillId="0" borderId="21" xfId="0" applyFont="1" applyFill="1" applyBorder="1" applyAlignment="1">
      <alignment/>
    </xf>
    <xf numFmtId="10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Alignment="1">
      <alignment horizontal="centerContinuous"/>
    </xf>
    <xf numFmtId="14" fontId="0" fillId="0" borderId="0" xfId="0" applyNumberFormat="1" applyAlignment="1">
      <alignment horizontal="centerContinuous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0" fontId="0" fillId="0" borderId="0" xfId="0" applyNumberFormat="1" applyFill="1" applyAlignment="1">
      <alignment/>
    </xf>
    <xf numFmtId="40" fontId="0" fillId="0" borderId="0" xfId="0" applyNumberFormat="1" applyAlignment="1">
      <alignment/>
    </xf>
    <xf numFmtId="40" fontId="0" fillId="0" borderId="23" xfId="0" applyNumberFormat="1" applyBorder="1" applyAlignment="1">
      <alignment/>
    </xf>
    <xf numFmtId="0" fontId="30" fillId="0" borderId="0" xfId="129" applyFont="1">
      <alignment/>
      <protection/>
    </xf>
    <xf numFmtId="49" fontId="3" fillId="0" borderId="0" xfId="109" applyNumberFormat="1" applyFont="1" applyFill="1" applyAlignment="1">
      <alignment/>
      <protection/>
    </xf>
    <xf numFmtId="210" fontId="0" fillId="0" borderId="0" xfId="109" applyNumberFormat="1" applyFont="1" applyFill="1" applyAlignment="1">
      <alignment horizontal="center"/>
      <protection/>
    </xf>
    <xf numFmtId="0" fontId="0" fillId="0" borderId="0" xfId="109" applyFont="1" applyFill="1">
      <alignment/>
      <protection/>
    </xf>
    <xf numFmtId="0" fontId="0" fillId="0" borderId="0" xfId="109" applyFont="1">
      <alignment/>
      <protection/>
    </xf>
    <xf numFmtId="210" fontId="31" fillId="0" borderId="0" xfId="109" applyNumberFormat="1" applyFont="1" applyFill="1" applyAlignment="1">
      <alignment horizontal="center"/>
      <protection/>
    </xf>
    <xf numFmtId="165" fontId="0" fillId="0" borderId="0" xfId="69" applyNumberFormat="1" applyFont="1" applyFill="1" applyAlignment="1">
      <alignment/>
    </xf>
    <xf numFmtId="14" fontId="3" fillId="0" borderId="0" xfId="109" applyNumberFormat="1" applyFont="1" applyFill="1" applyAlignment="1">
      <alignment horizontal="left"/>
      <protection/>
    </xf>
    <xf numFmtId="0" fontId="32" fillId="0" borderId="0" xfId="109" applyNumberFormat="1" applyFont="1" applyFill="1">
      <alignment/>
      <protection/>
    </xf>
    <xf numFmtId="165" fontId="0" fillId="0" borderId="0" xfId="109" applyNumberFormat="1" applyFont="1" applyFill="1">
      <alignment/>
      <protection/>
    </xf>
    <xf numFmtId="0" fontId="30" fillId="0" borderId="0" xfId="129" applyFont="1" applyAlignment="1">
      <alignment horizontal="center"/>
      <protection/>
    </xf>
    <xf numFmtId="49" fontId="3" fillId="0" borderId="0" xfId="109" applyNumberFormat="1" applyFont="1" applyFill="1" applyAlignment="1">
      <alignment horizontal="center"/>
      <protection/>
    </xf>
    <xf numFmtId="0" fontId="3" fillId="0" borderId="0" xfId="109" applyFont="1" applyAlignment="1">
      <alignment horizontal="center"/>
      <protection/>
    </xf>
    <xf numFmtId="0" fontId="3" fillId="0" borderId="0" xfId="109" applyFont="1" applyFill="1" applyAlignment="1">
      <alignment horizontal="center"/>
      <protection/>
    </xf>
    <xf numFmtId="49" fontId="0" fillId="0" borderId="0" xfId="109" applyNumberFormat="1" applyFont="1" applyFill="1" applyAlignment="1">
      <alignment/>
      <protection/>
    </xf>
    <xf numFmtId="165" fontId="0" fillId="0" borderId="0" xfId="109" applyNumberFormat="1" applyFont="1" applyFill="1" applyAlignment="1">
      <alignment horizontal="center"/>
      <protection/>
    </xf>
    <xf numFmtId="0" fontId="0" fillId="0" borderId="0" xfId="109" applyFont="1" applyAlignment="1">
      <alignment horizontal="center"/>
      <protection/>
    </xf>
    <xf numFmtId="0" fontId="0" fillId="0" borderId="21" xfId="109" applyFont="1" applyBorder="1" applyAlignment="1">
      <alignment horizontal="center"/>
      <protection/>
    </xf>
    <xf numFmtId="0" fontId="0" fillId="0" borderId="21" xfId="109" applyFont="1" applyBorder="1" applyAlignment="1">
      <alignment horizontal="center"/>
      <protection/>
    </xf>
    <xf numFmtId="0" fontId="30" fillId="0" borderId="0" xfId="129" applyFont="1" applyAlignment="1">
      <alignment horizontal="left"/>
      <protection/>
    </xf>
    <xf numFmtId="165" fontId="0" fillId="0" borderId="0" xfId="109" applyNumberFormat="1" applyFont="1" applyFill="1" applyBorder="1" applyAlignment="1">
      <alignment horizontal="center"/>
      <protection/>
    </xf>
    <xf numFmtId="37" fontId="0" fillId="0" borderId="0" xfId="109" applyNumberFormat="1" applyFont="1" applyFill="1" applyBorder="1" applyAlignment="1">
      <alignment horizontal="right"/>
      <protection/>
    </xf>
    <xf numFmtId="49" fontId="0" fillId="0" borderId="0" xfId="109" applyNumberFormat="1" applyFont="1" applyFill="1" applyBorder="1" applyAlignment="1">
      <alignment horizontal="center"/>
      <protection/>
    </xf>
    <xf numFmtId="49" fontId="0" fillId="0" borderId="0" xfId="109" applyNumberFormat="1" applyFont="1" applyFill="1" applyBorder="1" applyAlignment="1">
      <alignment horizontal="right"/>
      <protection/>
    </xf>
    <xf numFmtId="37" fontId="0" fillId="0" borderId="11" xfId="109" applyNumberFormat="1" applyFont="1" applyBorder="1">
      <alignment/>
      <protection/>
    </xf>
    <xf numFmtId="0" fontId="0" fillId="0" borderId="0" xfId="109" applyFont="1" applyAlignment="1">
      <alignment horizontal="left"/>
      <protection/>
    </xf>
    <xf numFmtId="43" fontId="0" fillId="0" borderId="0" xfId="69" applyNumberFormat="1" applyFont="1" applyFill="1" applyAlignment="1">
      <alignment/>
    </xf>
    <xf numFmtId="37" fontId="0" fillId="0" borderId="0" xfId="109" applyNumberFormat="1" applyFont="1">
      <alignment/>
      <protection/>
    </xf>
    <xf numFmtId="43" fontId="0" fillId="0" borderId="0" xfId="109" applyNumberFormat="1" applyFont="1" applyFill="1">
      <alignment/>
      <protection/>
    </xf>
    <xf numFmtId="49" fontId="0" fillId="0" borderId="0" xfId="109" applyNumberFormat="1" applyFont="1" applyFill="1" applyAlignment="1">
      <alignment horizontal="right"/>
      <protection/>
    </xf>
    <xf numFmtId="37" fontId="0" fillId="0" borderId="23" xfId="109" applyNumberFormat="1" applyFont="1" applyBorder="1">
      <alignment/>
      <protection/>
    </xf>
    <xf numFmtId="43" fontId="0" fillId="0" borderId="0" xfId="69" applyNumberFormat="1" applyFont="1" applyFill="1" applyBorder="1" applyAlignment="1">
      <alignment/>
    </xf>
    <xf numFmtId="43" fontId="0" fillId="0" borderId="0" xfId="69" applyFont="1" applyFill="1" applyBorder="1" applyAlignment="1">
      <alignment/>
    </xf>
    <xf numFmtId="43" fontId="0" fillId="0" borderId="0" xfId="109" applyNumberFormat="1" applyFont="1" applyFill="1" applyBorder="1">
      <alignment/>
      <protection/>
    </xf>
    <xf numFmtId="0" fontId="0" fillId="0" borderId="0" xfId="109" applyFont="1">
      <alignment/>
      <protection/>
    </xf>
    <xf numFmtId="43" fontId="0" fillId="0" borderId="0" xfId="109" applyNumberFormat="1" applyFont="1">
      <alignment/>
      <protection/>
    </xf>
    <xf numFmtId="43" fontId="0" fillId="0" borderId="0" xfId="109" applyNumberFormat="1" applyFont="1" applyFill="1" applyAlignment="1">
      <alignment horizontal="center"/>
      <protection/>
    </xf>
    <xf numFmtId="49" fontId="3" fillId="0" borderId="21" xfId="109" applyNumberFormat="1" applyFont="1" applyFill="1" applyBorder="1" applyAlignment="1">
      <alignment/>
      <protection/>
    </xf>
    <xf numFmtId="0" fontId="3" fillId="0" borderId="21" xfId="109" applyNumberFormat="1" applyFont="1" applyFill="1" applyBorder="1" applyAlignment="1">
      <alignment horizontal="center"/>
      <protection/>
    </xf>
    <xf numFmtId="17" fontId="3" fillId="0" borderId="21" xfId="109" applyNumberFormat="1" applyFont="1" applyFill="1" applyBorder="1" applyAlignment="1" quotePrefix="1">
      <alignment horizontal="center"/>
      <protection/>
    </xf>
    <xf numFmtId="43" fontId="3" fillId="0" borderId="21" xfId="109" applyNumberFormat="1" applyFont="1" applyFill="1" applyBorder="1" applyAlignment="1">
      <alignment horizontal="center"/>
      <protection/>
    </xf>
    <xf numFmtId="43" fontId="0" fillId="0" borderId="0" xfId="109" applyNumberFormat="1" applyFont="1" applyFill="1" applyAlignment="1">
      <alignment/>
      <protection/>
    </xf>
    <xf numFmtId="165" fontId="0" fillId="0" borderId="0" xfId="109" applyNumberFormat="1" applyFont="1">
      <alignment/>
      <protection/>
    </xf>
    <xf numFmtId="172" fontId="0" fillId="0" borderId="0" xfId="109" applyNumberFormat="1" applyFont="1">
      <alignment/>
      <protection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Continuous"/>
      <protection/>
    </xf>
    <xf numFmtId="0" fontId="3" fillId="0" borderId="16" xfId="0" applyFont="1" applyFill="1" applyBorder="1" applyAlignment="1">
      <alignment horizontal="centerContinuous"/>
    </xf>
    <xf numFmtId="0" fontId="34" fillId="0" borderId="16" xfId="0" applyFont="1" applyFill="1" applyBorder="1" applyAlignment="1" applyProtection="1">
      <alignment horizontal="centerContinuous"/>
      <protection/>
    </xf>
    <xf numFmtId="0" fontId="0" fillId="0" borderId="16" xfId="0" applyFont="1" applyFill="1" applyBorder="1" applyAlignment="1">
      <alignment horizontal="centerContinuous"/>
    </xf>
    <xf numFmtId="0" fontId="9" fillId="0" borderId="16" xfId="0" applyFont="1" applyFill="1" applyBorder="1" applyAlignment="1">
      <alignment horizontal="centerContinuous"/>
    </xf>
    <xf numFmtId="0" fontId="0" fillId="0" borderId="0" xfId="0" applyFont="1" applyFill="1" applyAlignment="1" applyProtection="1">
      <alignment/>
      <protection locked="0"/>
    </xf>
    <xf numFmtId="0" fontId="0" fillId="0" borderId="2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0" fillId="0" borderId="29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37" fontId="0" fillId="0" borderId="0" xfId="0" applyNumberFormat="1" applyFont="1" applyFill="1" applyAlignment="1" applyProtection="1">
      <alignment/>
      <protection locked="0"/>
    </xf>
    <xf numFmtId="176" fontId="0" fillId="0" borderId="22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39" fontId="0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 quotePrefix="1">
      <alignment horizontal="center"/>
      <protection/>
    </xf>
    <xf numFmtId="38" fontId="0" fillId="0" borderId="0" xfId="0" applyNumberFormat="1" applyFont="1" applyFill="1" applyAlignment="1">
      <alignment/>
    </xf>
    <xf numFmtId="37" fontId="0" fillId="0" borderId="21" xfId="0" applyNumberFormat="1" applyFont="1" applyFill="1" applyBorder="1" applyAlignment="1" applyProtection="1">
      <alignment/>
      <protection locked="0"/>
    </xf>
    <xf numFmtId="0" fontId="0" fillId="0" borderId="3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0" xfId="0" applyFont="1" applyFill="1" applyAlignment="1" applyProtection="1">
      <alignment horizontal="left"/>
      <protection/>
    </xf>
    <xf numFmtId="38" fontId="0" fillId="0" borderId="0" xfId="0" applyNumberFormat="1" applyFont="1" applyFill="1" applyBorder="1" applyAlignment="1" applyProtection="1">
      <alignment/>
      <protection/>
    </xf>
    <xf numFmtId="10" fontId="0" fillId="0" borderId="26" xfId="0" applyNumberFormat="1" applyFont="1" applyFill="1" applyBorder="1" applyAlignment="1" applyProtection="1">
      <alignment/>
      <protection/>
    </xf>
    <xf numFmtId="188" fontId="0" fillId="0" borderId="13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/>
      <protection/>
    </xf>
    <xf numFmtId="189" fontId="0" fillId="0" borderId="13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89" fontId="0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7" fontId="9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centerContinuous"/>
      <protection/>
    </xf>
    <xf numFmtId="0" fontId="4" fillId="0" borderId="13" xfId="0" applyFont="1" applyFill="1" applyBorder="1" applyAlignment="1" applyProtection="1">
      <alignment horizontal="centerContinuous"/>
      <protection/>
    </xf>
    <xf numFmtId="0" fontId="4" fillId="0" borderId="16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Alignment="1">
      <alignment/>
    </xf>
    <xf numFmtId="37" fontId="0" fillId="0" borderId="32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166" fontId="0" fillId="0" borderId="27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>
      <alignment/>
    </xf>
    <xf numFmtId="166" fontId="0" fillId="0" borderId="13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Alignment="1">
      <alignment/>
    </xf>
    <xf numFmtId="166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167" fontId="0" fillId="0" borderId="0" xfId="131" applyFont="1" applyFill="1" applyAlignment="1">
      <alignment horizontal="centerContinuous"/>
      <protection/>
    </xf>
    <xf numFmtId="167" fontId="0" fillId="0" borderId="0" xfId="131" applyFont="1" applyFill="1" applyAlignment="1" applyProtection="1">
      <alignment horizontal="centerContinuous"/>
      <protection/>
    </xf>
    <xf numFmtId="167" fontId="0" fillId="0" borderId="16" xfId="131" applyFont="1" applyFill="1" applyBorder="1">
      <alignment/>
      <protection/>
    </xf>
    <xf numFmtId="167" fontId="0" fillId="0" borderId="16" xfId="131" applyFont="1" applyFill="1" applyBorder="1" applyAlignment="1">
      <alignment horizontal="center"/>
      <protection/>
    </xf>
    <xf numFmtId="167" fontId="0" fillId="0" borderId="33" xfId="131" applyFont="1" applyFill="1" applyBorder="1">
      <alignment/>
      <protection/>
    </xf>
    <xf numFmtId="167" fontId="0" fillId="0" borderId="34" xfId="131" applyFont="1" applyFill="1" applyBorder="1" applyAlignment="1" applyProtection="1">
      <alignment horizontal="center"/>
      <protection/>
    </xf>
    <xf numFmtId="167" fontId="0" fillId="0" borderId="34" xfId="131" applyFont="1" applyFill="1" applyBorder="1">
      <alignment/>
      <protection/>
    </xf>
    <xf numFmtId="167" fontId="0" fillId="0" borderId="20" xfId="131" applyFont="1" applyFill="1" applyBorder="1" applyAlignment="1">
      <alignment horizontal="center"/>
      <protection/>
    </xf>
    <xf numFmtId="167" fontId="0" fillId="0" borderId="0" xfId="131" applyFont="1" applyFill="1" applyBorder="1" applyAlignment="1">
      <alignment horizontal="center"/>
      <protection/>
    </xf>
    <xf numFmtId="167" fontId="0" fillId="0" borderId="35" xfId="131" applyFont="1" applyFill="1" applyBorder="1" applyAlignment="1" applyProtection="1">
      <alignment horizontal="centerContinuous"/>
      <protection/>
    </xf>
    <xf numFmtId="167" fontId="0" fillId="0" borderId="21" xfId="131" applyFont="1" applyFill="1" applyBorder="1" applyAlignment="1" applyProtection="1">
      <alignment horizontal="centerContinuous"/>
      <protection/>
    </xf>
    <xf numFmtId="167" fontId="0" fillId="0" borderId="36" xfId="131" applyFont="1" applyFill="1" applyBorder="1" applyAlignment="1" applyProtection="1">
      <alignment horizontal="center"/>
      <protection/>
    </xf>
    <xf numFmtId="167" fontId="0" fillId="0" borderId="36" xfId="131" applyFont="1" applyFill="1" applyBorder="1" applyAlignment="1">
      <alignment horizontal="center"/>
      <protection/>
    </xf>
    <xf numFmtId="167" fontId="0" fillId="0" borderId="20" xfId="131" applyFont="1" applyFill="1" applyBorder="1">
      <alignment/>
      <protection/>
    </xf>
    <xf numFmtId="167" fontId="0" fillId="0" borderId="0" xfId="131" applyFont="1" applyFill="1" applyBorder="1" applyAlignment="1" applyProtection="1">
      <alignment horizontal="center"/>
      <protection/>
    </xf>
    <xf numFmtId="167" fontId="0" fillId="0" borderId="37" xfId="131" applyFont="1" applyFill="1" applyBorder="1">
      <alignment/>
      <protection/>
    </xf>
    <xf numFmtId="167" fontId="0" fillId="0" borderId="16" xfId="131" applyFont="1" applyFill="1" applyBorder="1" applyAlignment="1" applyProtection="1">
      <alignment horizontal="left"/>
      <protection/>
    </xf>
    <xf numFmtId="167" fontId="0" fillId="0" borderId="16" xfId="131" applyFont="1" applyFill="1" applyBorder="1" applyAlignment="1" applyProtection="1">
      <alignment horizontal="center"/>
      <protection/>
    </xf>
    <xf numFmtId="167" fontId="0" fillId="0" borderId="38" xfId="131" applyFont="1" applyFill="1" applyBorder="1" applyAlignment="1" applyProtection="1">
      <alignment horizontal="center"/>
      <protection/>
    </xf>
    <xf numFmtId="167" fontId="0" fillId="0" borderId="20" xfId="131" applyFont="1" applyFill="1" applyBorder="1" applyAlignment="1" applyProtection="1">
      <alignment horizontal="center"/>
      <protection/>
    </xf>
    <xf numFmtId="167" fontId="3" fillId="0" borderId="0" xfId="131" applyFont="1" applyFill="1">
      <alignment/>
      <protection/>
    </xf>
    <xf numFmtId="38" fontId="0" fillId="0" borderId="0" xfId="131" applyNumberFormat="1" applyFont="1" applyFill="1">
      <alignment/>
      <protection/>
    </xf>
    <xf numFmtId="167" fontId="8" fillId="0" borderId="0" xfId="131" applyFont="1" applyFill="1" applyAlignment="1" applyProtection="1">
      <alignment horizontal="left"/>
      <protection/>
    </xf>
    <xf numFmtId="167" fontId="0" fillId="0" borderId="0" xfId="131" applyFont="1" applyFill="1" applyAlignment="1" applyProtection="1">
      <alignment horizontal="right"/>
      <protection/>
    </xf>
    <xf numFmtId="38" fontId="0" fillId="0" borderId="0" xfId="131" applyNumberFormat="1" applyFont="1" applyFill="1" applyBorder="1">
      <alignment/>
      <protection/>
    </xf>
    <xf numFmtId="167" fontId="3" fillId="0" borderId="0" xfId="131" applyFont="1" applyFill="1" applyAlignment="1" applyProtection="1">
      <alignment horizontal="centerContinuous"/>
      <protection/>
    </xf>
    <xf numFmtId="167" fontId="0" fillId="0" borderId="16" xfId="131" applyFont="1" applyFill="1" applyBorder="1" applyProtection="1">
      <alignment/>
      <protection locked="0"/>
    </xf>
    <xf numFmtId="167" fontId="20" fillId="0" borderId="36" xfId="131" applyFont="1" applyFill="1" applyBorder="1" applyAlignment="1">
      <alignment horizontal="center"/>
      <protection/>
    </xf>
    <xf numFmtId="167" fontId="3" fillId="0" borderId="0" xfId="131" applyFont="1" applyFill="1" applyBorder="1">
      <alignment/>
      <protection/>
    </xf>
    <xf numFmtId="167" fontId="0" fillId="0" borderId="0" xfId="131" applyFont="1" applyFill="1" applyProtection="1">
      <alignment/>
      <protection locked="0"/>
    </xf>
    <xf numFmtId="167" fontId="0" fillId="0" borderId="0" xfId="132" applyFont="1" applyFill="1" applyAlignment="1">
      <alignment horizontal="centerContinuous"/>
      <protection/>
    </xf>
    <xf numFmtId="167" fontId="0" fillId="0" borderId="0" xfId="132" applyFont="1" applyFill="1">
      <alignment/>
      <protection/>
    </xf>
    <xf numFmtId="167" fontId="0" fillId="0" borderId="0" xfId="132" applyFont="1" applyFill="1" applyAlignment="1" applyProtection="1">
      <alignment horizontal="centerContinuous"/>
      <protection/>
    </xf>
    <xf numFmtId="167" fontId="0" fillId="0" borderId="16" xfId="132" applyFont="1" applyFill="1" applyBorder="1">
      <alignment/>
      <protection/>
    </xf>
    <xf numFmtId="167" fontId="0" fillId="0" borderId="28" xfId="132" applyFont="1" applyFill="1" applyBorder="1">
      <alignment/>
      <protection/>
    </xf>
    <xf numFmtId="167" fontId="0" fillId="0" borderId="33" xfId="132" applyFont="1" applyFill="1" applyBorder="1">
      <alignment/>
      <protection/>
    </xf>
    <xf numFmtId="167" fontId="7" fillId="0" borderId="20" xfId="132" applyFont="1" applyFill="1" applyBorder="1" applyAlignment="1" applyProtection="1">
      <alignment horizontal="center"/>
      <protection/>
    </xf>
    <xf numFmtId="167" fontId="0" fillId="0" borderId="36" xfId="132" applyFont="1" applyFill="1" applyBorder="1" applyAlignment="1" applyProtection="1">
      <alignment horizontal="center"/>
      <protection/>
    </xf>
    <xf numFmtId="167" fontId="0" fillId="0" borderId="36" xfId="132" applyFont="1" applyFill="1" applyBorder="1">
      <alignment/>
      <protection/>
    </xf>
    <xf numFmtId="167" fontId="0" fillId="0" borderId="35" xfId="132" applyFont="1" applyFill="1" applyBorder="1" applyAlignment="1" applyProtection="1">
      <alignment horizontal="centerContinuous"/>
      <protection/>
    </xf>
    <xf numFmtId="167" fontId="0" fillId="0" borderId="39" xfId="132" applyFont="1" applyFill="1" applyBorder="1" applyAlignment="1" applyProtection="1">
      <alignment horizontal="centerContinuous"/>
      <protection/>
    </xf>
    <xf numFmtId="167" fontId="0" fillId="0" borderId="36" xfId="132" applyFont="1" applyFill="1" applyBorder="1" applyAlignment="1">
      <alignment horizontal="center"/>
      <protection/>
    </xf>
    <xf numFmtId="167" fontId="0" fillId="0" borderId="37" xfId="132" applyFont="1" applyFill="1" applyBorder="1">
      <alignment/>
      <protection/>
    </xf>
    <xf numFmtId="167" fontId="0" fillId="0" borderId="29" xfId="132" applyFont="1" applyFill="1" applyBorder="1" applyAlignment="1" applyProtection="1">
      <alignment horizontal="left"/>
      <protection/>
    </xf>
    <xf numFmtId="167" fontId="0" fillId="0" borderId="29" xfId="132" applyFont="1" applyFill="1" applyBorder="1" applyAlignment="1" applyProtection="1">
      <alignment horizontal="center"/>
      <protection/>
    </xf>
    <xf numFmtId="167" fontId="0" fillId="0" borderId="37" xfId="132" applyFont="1" applyFill="1" applyBorder="1" applyAlignment="1" applyProtection="1">
      <alignment horizontal="center"/>
      <protection/>
    </xf>
    <xf numFmtId="167" fontId="7" fillId="0" borderId="37" xfId="132" applyFont="1" applyFill="1" applyBorder="1" applyAlignment="1" applyProtection="1">
      <alignment horizontal="center"/>
      <protection/>
    </xf>
    <xf numFmtId="167" fontId="0" fillId="0" borderId="38" xfId="132" applyFont="1" applyFill="1" applyBorder="1" applyAlignment="1" applyProtection="1">
      <alignment horizontal="center"/>
      <protection/>
    </xf>
    <xf numFmtId="167" fontId="0" fillId="0" borderId="0" xfId="132" applyFont="1" applyFill="1" applyBorder="1" applyAlignment="1" applyProtection="1">
      <alignment horizontal="left"/>
      <protection/>
    </xf>
    <xf numFmtId="167" fontId="0" fillId="0" borderId="28" xfId="132" applyFont="1" applyFill="1" applyBorder="1" applyAlignment="1" applyProtection="1">
      <alignment horizontal="center"/>
      <protection/>
    </xf>
    <xf numFmtId="167" fontId="0" fillId="0" borderId="20" xfId="132" applyFont="1" applyFill="1" applyBorder="1" applyAlignment="1" applyProtection="1">
      <alignment horizontal="center"/>
      <protection/>
    </xf>
    <xf numFmtId="3" fontId="0" fillId="0" borderId="0" xfId="132" applyNumberFormat="1" applyFont="1" applyFill="1">
      <alignment/>
      <protection/>
    </xf>
    <xf numFmtId="167" fontId="0" fillId="0" borderId="0" xfId="132" applyFont="1" applyFill="1" applyAlignment="1" applyProtection="1">
      <alignment horizontal="center"/>
      <protection/>
    </xf>
    <xf numFmtId="167" fontId="3" fillId="0" borderId="0" xfId="132" applyFont="1" applyFill="1">
      <alignment/>
      <protection/>
    </xf>
    <xf numFmtId="167" fontId="0" fillId="0" borderId="0" xfId="132" applyFont="1" applyFill="1" applyBorder="1">
      <alignment/>
      <protection/>
    </xf>
    <xf numFmtId="40" fontId="0" fillId="0" borderId="0" xfId="132" applyNumberFormat="1" applyFont="1" applyFill="1" applyBorder="1">
      <alignment/>
      <protection/>
    </xf>
    <xf numFmtId="167" fontId="3" fillId="0" borderId="0" xfId="132" applyFont="1" applyFill="1" applyAlignment="1">
      <alignment horizontal="centerContinuous"/>
      <protection/>
    </xf>
    <xf numFmtId="167" fontId="3" fillId="0" borderId="0" xfId="132" applyFont="1" applyFill="1" applyAlignment="1" applyProtection="1">
      <alignment horizontal="centerContinuous"/>
      <protection/>
    </xf>
    <xf numFmtId="167" fontId="0" fillId="0" borderId="16" xfId="132" applyFont="1" applyFill="1" applyBorder="1" applyProtection="1">
      <alignment/>
      <protection locked="0"/>
    </xf>
    <xf numFmtId="167" fontId="20" fillId="0" borderId="38" xfId="132" applyFont="1" applyFill="1" applyBorder="1" applyAlignment="1" applyProtection="1">
      <alignment horizontal="center"/>
      <protection/>
    </xf>
    <xf numFmtId="167" fontId="0" fillId="0" borderId="0" xfId="132" applyFont="1" applyFill="1" applyAlignment="1" applyProtection="1">
      <alignment horizontal="left"/>
      <protection locked="0"/>
    </xf>
    <xf numFmtId="40" fontId="3" fillId="0" borderId="0" xfId="132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16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24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Continuous"/>
    </xf>
    <xf numFmtId="0" fontId="0" fillId="0" borderId="0" xfId="0" applyFont="1" applyFill="1" applyAlignment="1">
      <alignment horizontal="center"/>
    </xf>
    <xf numFmtId="9" fontId="0" fillId="0" borderId="22" xfId="0" applyNumberFormat="1" applyFont="1" applyFill="1" applyBorder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0" borderId="22" xfId="0" applyFont="1" applyFill="1" applyBorder="1" applyAlignment="1">
      <alignment horizontal="center"/>
    </xf>
    <xf numFmtId="9" fontId="0" fillId="0" borderId="41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4" fontId="0" fillId="0" borderId="30" xfId="0" applyNumberFormat="1" applyFont="1" applyFill="1" applyBorder="1" applyAlignment="1">
      <alignment horizontal="center"/>
    </xf>
    <xf numFmtId="16" fontId="0" fillId="0" borderId="16" xfId="0" applyNumberFormat="1" applyFont="1" applyFill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9" fontId="0" fillId="0" borderId="18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0" fontId="0" fillId="0" borderId="41" xfId="0" applyNumberFormat="1" applyFont="1" applyFill="1" applyBorder="1" applyAlignment="1">
      <alignment/>
    </xf>
    <xf numFmtId="40" fontId="0" fillId="0" borderId="22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38" fontId="0" fillId="0" borderId="22" xfId="0" applyNumberFormat="1" applyFont="1" applyFill="1" applyBorder="1" applyAlignment="1">
      <alignment/>
    </xf>
    <xf numFmtId="173" fontId="0" fillId="0" borderId="22" xfId="0" applyNumberFormat="1" applyFont="1" applyFill="1" applyBorder="1" applyAlignment="1">
      <alignment/>
    </xf>
    <xf numFmtId="173" fontId="0" fillId="0" borderId="41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40" fontId="0" fillId="0" borderId="42" xfId="0" applyNumberFormat="1" applyFont="1" applyFill="1" applyBorder="1" applyAlignment="1">
      <alignment/>
    </xf>
    <xf numFmtId="40" fontId="0" fillId="0" borderId="21" xfId="0" applyNumberFormat="1" applyFont="1" applyFill="1" applyBorder="1" applyAlignment="1">
      <alignment/>
    </xf>
    <xf numFmtId="38" fontId="0" fillId="0" borderId="21" xfId="0" applyNumberFormat="1" applyFont="1" applyFill="1" applyBorder="1" applyAlignment="1">
      <alignment/>
    </xf>
    <xf numFmtId="173" fontId="0" fillId="0" borderId="31" xfId="0" applyNumberFormat="1" applyFont="1" applyFill="1" applyBorder="1" applyAlignment="1">
      <alignment/>
    </xf>
    <xf numFmtId="173" fontId="0" fillId="0" borderId="42" xfId="0" applyNumberFormat="1" applyFont="1" applyFill="1" applyBorder="1" applyAlignment="1">
      <alignment/>
    </xf>
    <xf numFmtId="168" fontId="0" fillId="0" borderId="22" xfId="0" applyNumberFormat="1" applyFont="1" applyFill="1" applyBorder="1" applyAlignment="1">
      <alignment/>
    </xf>
    <xf numFmtId="168" fontId="0" fillId="0" borderId="4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73" fontId="0" fillId="0" borderId="30" xfId="0" applyNumberFormat="1" applyFont="1" applyFill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3" fillId="0" borderId="0" xfId="0" applyNumberFormat="1" applyFont="1" applyFill="1" applyBorder="1" applyAlignment="1">
      <alignment horizontal="right"/>
    </xf>
    <xf numFmtId="40" fontId="3" fillId="0" borderId="0" xfId="0" applyNumberFormat="1" applyFont="1" applyFill="1" applyAlignment="1">
      <alignment/>
    </xf>
    <xf numFmtId="37" fontId="5" fillId="0" borderId="27" xfId="0" applyNumberFormat="1" applyFont="1" applyFill="1" applyBorder="1" applyAlignment="1">
      <alignment/>
    </xf>
    <xf numFmtId="0" fontId="0" fillId="0" borderId="22" xfId="0" applyBorder="1" applyAlignment="1">
      <alignment/>
    </xf>
    <xf numFmtId="38" fontId="0" fillId="0" borderId="22" xfId="0" applyNumberFormat="1" applyBorder="1" applyAlignment="1">
      <alignment/>
    </xf>
    <xf numFmtId="0" fontId="0" fillId="0" borderId="0" xfId="0" applyFont="1" applyFill="1" applyAlignment="1">
      <alignment horizontal="right"/>
    </xf>
    <xf numFmtId="167" fontId="0" fillId="0" borderId="0" xfId="128" applyFont="1" applyAlignment="1">
      <alignment horizontal="centerContinuous"/>
      <protection/>
    </xf>
    <xf numFmtId="167" fontId="0" fillId="0" borderId="0" xfId="128" applyFont="1">
      <alignment/>
      <protection/>
    </xf>
    <xf numFmtId="167" fontId="0" fillId="0" borderId="0" xfId="128" applyFont="1" applyAlignment="1" applyProtection="1">
      <alignment horizontal="left"/>
      <protection/>
    </xf>
    <xf numFmtId="167" fontId="0" fillId="0" borderId="0" xfId="128" applyFont="1" applyBorder="1">
      <alignment/>
      <protection/>
    </xf>
    <xf numFmtId="167" fontId="0" fillId="0" borderId="0" xfId="128" applyFont="1" applyBorder="1" applyAlignment="1" applyProtection="1">
      <alignment horizontal="center"/>
      <protection/>
    </xf>
    <xf numFmtId="167" fontId="0" fillId="0" borderId="25" xfId="128" applyFont="1" applyBorder="1" applyAlignment="1">
      <alignment horizontal="centerContinuous"/>
      <protection/>
    </xf>
    <xf numFmtId="167" fontId="0" fillId="0" borderId="11" xfId="128" applyFont="1" applyBorder="1" applyAlignment="1" applyProtection="1">
      <alignment horizontal="centerContinuous"/>
      <protection/>
    </xf>
    <xf numFmtId="167" fontId="0" fillId="0" borderId="11" xfId="128" applyFont="1" applyBorder="1" applyAlignment="1">
      <alignment horizontal="centerContinuous"/>
      <protection/>
    </xf>
    <xf numFmtId="167" fontId="0" fillId="0" borderId="11" xfId="128" applyFont="1" applyBorder="1" applyAlignment="1" applyProtection="1" quotePrefix="1">
      <alignment horizontal="centerContinuous"/>
      <protection/>
    </xf>
    <xf numFmtId="167" fontId="0" fillId="0" borderId="43" xfId="128" applyFont="1" applyBorder="1" applyAlignment="1">
      <alignment horizontal="centerContinuous"/>
      <protection/>
    </xf>
    <xf numFmtId="167" fontId="0" fillId="0" borderId="44" xfId="128" applyFont="1" applyBorder="1">
      <alignment/>
      <protection/>
    </xf>
    <xf numFmtId="167" fontId="0" fillId="0" borderId="28" xfId="128" applyFont="1" applyBorder="1" applyAlignment="1" applyProtection="1">
      <alignment horizontal="left"/>
      <protection/>
    </xf>
    <xf numFmtId="167" fontId="0" fillId="0" borderId="28" xfId="128" applyFont="1" applyBorder="1" applyAlignment="1">
      <alignment horizontal="center"/>
      <protection/>
    </xf>
    <xf numFmtId="167" fontId="0" fillId="0" borderId="20" xfId="128" applyFont="1" applyBorder="1">
      <alignment/>
      <protection/>
    </xf>
    <xf numFmtId="167" fontId="0" fillId="0" borderId="36" xfId="128" applyFont="1" applyBorder="1" applyAlignment="1" applyProtection="1">
      <alignment horizontal="left"/>
      <protection/>
    </xf>
    <xf numFmtId="167" fontId="0" fillId="0" borderId="21" xfId="128" applyFont="1" applyBorder="1" applyAlignment="1" applyProtection="1">
      <alignment horizontal="left"/>
      <protection/>
    </xf>
    <xf numFmtId="37" fontId="0" fillId="0" borderId="0" xfId="128" applyNumberFormat="1" applyFont="1" applyProtection="1">
      <alignment/>
      <protection/>
    </xf>
    <xf numFmtId="37" fontId="0" fillId="0" borderId="0" xfId="128" applyNumberFormat="1" applyFont="1" applyBorder="1" applyProtection="1">
      <alignment/>
      <protection/>
    </xf>
    <xf numFmtId="43" fontId="0" fillId="0" borderId="0" xfId="66" applyNumberFormat="1" applyFont="1" applyAlignment="1" quotePrefix="1">
      <alignment/>
    </xf>
    <xf numFmtId="43" fontId="0" fillId="0" borderId="0" xfId="66" applyNumberFormat="1" applyFont="1" applyAlignment="1">
      <alignment/>
    </xf>
    <xf numFmtId="37" fontId="0" fillId="0" borderId="45" xfId="128" applyNumberFormat="1" applyFont="1" applyBorder="1" applyProtection="1">
      <alignment/>
      <protection/>
    </xf>
    <xf numFmtId="37" fontId="0" fillId="0" borderId="46" xfId="128" applyNumberFormat="1" applyFont="1" applyBorder="1" applyProtection="1">
      <alignment/>
      <protection/>
    </xf>
    <xf numFmtId="167" fontId="0" fillId="0" borderId="0" xfId="128" applyFont="1" applyAlignment="1" applyProtection="1">
      <alignment horizontal="center"/>
      <protection/>
    </xf>
    <xf numFmtId="0" fontId="30" fillId="0" borderId="0" xfId="130" applyFont="1">
      <alignment/>
      <protection/>
    </xf>
    <xf numFmtId="38" fontId="33" fillId="0" borderId="0" xfId="92" applyNumberFormat="1" applyFont="1" applyFill="1" applyAlignment="1">
      <alignment horizontal="center"/>
    </xf>
    <xf numFmtId="17" fontId="3" fillId="0" borderId="21" xfId="0" applyNumberFormat="1" applyFont="1" applyFill="1" applyBorder="1" applyAlignment="1">
      <alignment horizontal="center"/>
    </xf>
    <xf numFmtId="49" fontId="0" fillId="0" borderId="0" xfId="68" applyNumberFormat="1" applyFont="1" applyFill="1" applyAlignment="1">
      <alignment horizontal="left"/>
    </xf>
    <xf numFmtId="43" fontId="0" fillId="0" borderId="0" xfId="68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 wrapText="1"/>
    </xf>
    <xf numFmtId="165" fontId="0" fillId="0" borderId="11" xfId="109" applyNumberFormat="1" applyFont="1" applyBorder="1">
      <alignment/>
      <protection/>
    </xf>
    <xf numFmtId="43" fontId="30" fillId="0" borderId="0" xfId="130" applyNumberFormat="1" applyFont="1">
      <alignment/>
      <protection/>
    </xf>
    <xf numFmtId="167" fontId="0" fillId="0" borderId="28" xfId="128" applyFont="1" applyBorder="1" applyAlignment="1" applyProtection="1">
      <alignment horizontal="center" wrapText="1"/>
      <protection/>
    </xf>
    <xf numFmtId="167" fontId="0" fillId="0" borderId="0" xfId="128" applyFont="1" applyBorder="1" applyAlignment="1" applyProtection="1">
      <alignment horizontal="center" wrapText="1"/>
      <protection/>
    </xf>
    <xf numFmtId="167" fontId="0" fillId="0" borderId="21" xfId="128" applyFont="1" applyBorder="1" applyAlignment="1" applyProtection="1">
      <alignment horizontal="center" wrapText="1"/>
      <protection/>
    </xf>
    <xf numFmtId="167" fontId="0" fillId="0" borderId="35" xfId="128" applyFont="1" applyBorder="1" applyAlignment="1" applyProtection="1">
      <alignment horizontal="center" wrapText="1"/>
      <protection/>
    </xf>
    <xf numFmtId="167" fontId="0" fillId="0" borderId="39" xfId="128" applyFont="1" applyBorder="1" applyAlignment="1" applyProtection="1">
      <alignment horizontal="center" wrapText="1"/>
      <protection/>
    </xf>
    <xf numFmtId="167" fontId="0" fillId="0" borderId="47" xfId="128" applyFont="1" applyBorder="1" applyAlignment="1" applyProtection="1">
      <alignment horizontal="center" wrapText="1"/>
      <protection/>
    </xf>
    <xf numFmtId="37" fontId="0" fillId="0" borderId="0" xfId="128" applyNumberFormat="1" applyFont="1" applyAlignment="1" applyProtection="1">
      <alignment horizontal="right"/>
      <protection/>
    </xf>
    <xf numFmtId="37" fontId="0" fillId="0" borderId="21" xfId="0" applyNumberFormat="1" applyFont="1" applyFill="1" applyBorder="1" applyAlignment="1">
      <alignment/>
    </xf>
    <xf numFmtId="37" fontId="0" fillId="0" borderId="48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/>
      <protection/>
    </xf>
    <xf numFmtId="37" fontId="0" fillId="0" borderId="28" xfId="128" applyNumberFormat="1" applyFont="1" applyBorder="1" applyProtection="1">
      <alignment/>
      <protection locked="0"/>
    </xf>
    <xf numFmtId="37" fontId="0" fillId="0" borderId="20" xfId="128" applyNumberFormat="1" applyFont="1" applyBorder="1" applyProtection="1">
      <alignment/>
      <protection/>
    </xf>
    <xf numFmtId="37" fontId="0" fillId="0" borderId="0" xfId="128" applyNumberFormat="1" applyFont="1" applyFill="1" applyProtection="1">
      <alignment/>
      <protection locked="0"/>
    </xf>
    <xf numFmtId="37" fontId="0" fillId="0" borderId="28" xfId="128" applyNumberFormat="1" applyFont="1" applyBorder="1" applyProtection="1">
      <alignment/>
      <protection/>
    </xf>
    <xf numFmtId="37" fontId="0" fillId="0" borderId="0" xfId="128" applyNumberFormat="1" applyFont="1" applyProtection="1">
      <alignment/>
      <protection locked="0"/>
    </xf>
    <xf numFmtId="37" fontId="0" fillId="0" borderId="28" xfId="128" applyNumberFormat="1" applyFont="1" applyFill="1" applyBorder="1" applyProtection="1">
      <alignment/>
      <protection locked="0"/>
    </xf>
    <xf numFmtId="37" fontId="0" fillId="0" borderId="49" xfId="128" applyNumberFormat="1" applyFont="1" applyBorder="1" applyProtection="1">
      <alignment/>
      <protection/>
    </xf>
    <xf numFmtId="37" fontId="0" fillId="0" borderId="28" xfId="128" applyNumberFormat="1" applyFont="1" applyBorder="1" applyAlignment="1" applyProtection="1">
      <alignment horizontal="right"/>
      <protection/>
    </xf>
    <xf numFmtId="174" fontId="0" fillId="0" borderId="20" xfId="66" applyNumberFormat="1" applyFont="1" applyBorder="1" applyAlignment="1" quotePrefix="1">
      <alignment/>
    </xf>
    <xf numFmtId="174" fontId="0" fillId="0" borderId="6" xfId="128" applyNumberFormat="1" applyFont="1" applyBorder="1" applyProtection="1">
      <alignment/>
      <protection/>
    </xf>
    <xf numFmtId="40" fontId="0" fillId="0" borderId="22" xfId="0" applyNumberFormat="1" applyFont="1" applyFill="1" applyBorder="1" applyAlignment="1">
      <alignment/>
    </xf>
    <xf numFmtId="37" fontId="0" fillId="0" borderId="0" xfId="131" applyNumberFormat="1" applyFont="1" applyFill="1" applyProtection="1">
      <alignment/>
      <protection locked="0"/>
    </xf>
    <xf numFmtId="37" fontId="0" fillId="0" borderId="36" xfId="131" applyNumberFormat="1" applyFont="1" applyFill="1" applyBorder="1" applyProtection="1">
      <alignment/>
      <protection/>
    </xf>
    <xf numFmtId="37" fontId="0" fillId="0" borderId="36" xfId="131" applyNumberFormat="1" applyFont="1" applyFill="1" applyBorder="1" applyProtection="1">
      <alignment/>
      <protection locked="0"/>
    </xf>
    <xf numFmtId="37" fontId="0" fillId="0" borderId="21" xfId="131" applyNumberFormat="1" applyFont="1" applyFill="1" applyBorder="1">
      <alignment/>
      <protection/>
    </xf>
    <xf numFmtId="37" fontId="0" fillId="0" borderId="47" xfId="131" applyNumberFormat="1" applyFont="1" applyFill="1" applyBorder="1" applyProtection="1">
      <alignment/>
      <protection/>
    </xf>
    <xf numFmtId="37" fontId="0" fillId="0" borderId="25" xfId="131" applyNumberFormat="1" applyFont="1" applyFill="1" applyBorder="1">
      <alignment/>
      <protection/>
    </xf>
    <xf numFmtId="37" fontId="0" fillId="0" borderId="11" xfId="131" applyNumberFormat="1" applyFont="1" applyFill="1" applyBorder="1">
      <alignment/>
      <protection/>
    </xf>
    <xf numFmtId="37" fontId="0" fillId="0" borderId="44" xfId="131" applyNumberFormat="1" applyFont="1" applyFill="1" applyBorder="1" applyProtection="1">
      <alignment/>
      <protection/>
    </xf>
    <xf numFmtId="37" fontId="0" fillId="0" borderId="29" xfId="131" applyNumberFormat="1" applyFont="1" applyFill="1" applyBorder="1" applyProtection="1">
      <alignment/>
      <protection/>
    </xf>
    <xf numFmtId="37" fontId="0" fillId="0" borderId="16" xfId="131" applyNumberFormat="1" applyFont="1" applyFill="1" applyBorder="1" applyProtection="1">
      <alignment/>
      <protection/>
    </xf>
    <xf numFmtId="37" fontId="0" fillId="0" borderId="38" xfId="131" applyNumberFormat="1" applyFont="1" applyFill="1" applyBorder="1" applyProtection="1">
      <alignment/>
      <protection/>
    </xf>
    <xf numFmtId="37" fontId="0" fillId="0" borderId="0" xfId="131" applyNumberFormat="1" applyFont="1" applyFill="1" applyProtection="1">
      <alignment/>
      <protection/>
    </xf>
    <xf numFmtId="37" fontId="0" fillId="0" borderId="50" xfId="131" applyNumberFormat="1" applyFont="1" applyFill="1" applyBorder="1" applyProtection="1">
      <alignment/>
      <protection/>
    </xf>
    <xf numFmtId="37" fontId="0" fillId="0" borderId="0" xfId="131" applyNumberFormat="1" applyFont="1" applyFill="1" applyBorder="1" applyProtection="1">
      <alignment/>
      <protection/>
    </xf>
    <xf numFmtId="37" fontId="0" fillId="0" borderId="0" xfId="131" applyNumberFormat="1" applyFont="1" applyFill="1">
      <alignment/>
      <protection/>
    </xf>
    <xf numFmtId="37" fontId="0" fillId="0" borderId="0" xfId="131" applyNumberFormat="1" applyFont="1" applyFill="1" applyAlignment="1" applyProtection="1">
      <alignment horizontal="right"/>
      <protection locked="0"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7" fontId="0" fillId="0" borderId="28" xfId="132" applyNumberFormat="1" applyFont="1" applyFill="1" applyBorder="1" applyProtection="1">
      <alignment/>
      <protection locked="0"/>
    </xf>
    <xf numFmtId="37" fontId="0" fillId="0" borderId="20" xfId="132" applyNumberFormat="1" applyFont="1" applyFill="1" applyBorder="1" applyProtection="1">
      <alignment/>
      <protection locked="0"/>
    </xf>
    <xf numFmtId="37" fontId="0" fillId="0" borderId="20" xfId="132" applyNumberFormat="1" applyFont="1" applyFill="1" applyBorder="1" applyProtection="1">
      <alignment/>
      <protection/>
    </xf>
    <xf numFmtId="37" fontId="0" fillId="0" borderId="36" xfId="132" applyNumberFormat="1" applyFont="1" applyFill="1" applyBorder="1" applyProtection="1">
      <alignment/>
      <protection locked="0"/>
    </xf>
    <xf numFmtId="37" fontId="0" fillId="0" borderId="36" xfId="132" applyNumberFormat="1" applyFont="1" applyFill="1" applyBorder="1" applyProtection="1">
      <alignment/>
      <protection/>
    </xf>
    <xf numFmtId="37" fontId="0" fillId="0" borderId="35" xfId="132" applyNumberFormat="1" applyFont="1" applyFill="1" applyBorder="1">
      <alignment/>
      <protection/>
    </xf>
    <xf numFmtId="37" fontId="0" fillId="0" borderId="39" xfId="132" applyNumberFormat="1" applyFont="1" applyFill="1" applyBorder="1">
      <alignment/>
      <protection/>
    </xf>
    <xf numFmtId="37" fontId="0" fillId="0" borderId="47" xfId="132" applyNumberFormat="1" applyFont="1" applyFill="1" applyBorder="1" applyProtection="1">
      <alignment/>
      <protection/>
    </xf>
    <xf numFmtId="37" fontId="0" fillId="0" borderId="47" xfId="132" applyNumberFormat="1" applyFont="1" applyFill="1" applyBorder="1">
      <alignment/>
      <protection/>
    </xf>
    <xf numFmtId="37" fontId="0" fillId="0" borderId="51" xfId="132" applyNumberFormat="1" applyFont="1" applyFill="1" applyBorder="1" applyProtection="1">
      <alignment/>
      <protection/>
    </xf>
    <xf numFmtId="37" fontId="0" fillId="0" borderId="23" xfId="132" applyNumberFormat="1" applyFont="1" applyFill="1" applyBorder="1" applyProtection="1">
      <alignment/>
      <protection/>
    </xf>
    <xf numFmtId="37" fontId="0" fillId="0" borderId="28" xfId="132" applyNumberFormat="1" applyFont="1" applyFill="1" applyBorder="1">
      <alignment/>
      <protection/>
    </xf>
    <xf numFmtId="37" fontId="0" fillId="0" borderId="50" xfId="132" applyNumberFormat="1" applyFont="1" applyFill="1" applyBorder="1">
      <alignment/>
      <protection/>
    </xf>
    <xf numFmtId="37" fontId="0" fillId="0" borderId="0" xfId="132" applyNumberFormat="1" applyFont="1" applyFill="1" applyBorder="1">
      <alignment/>
      <protection/>
    </xf>
    <xf numFmtId="37" fontId="0" fillId="0" borderId="0" xfId="132" applyNumberFormat="1" applyFont="1" applyFill="1" applyBorder="1" applyProtection="1">
      <alignment/>
      <protection locked="0"/>
    </xf>
    <xf numFmtId="37" fontId="0" fillId="0" borderId="0" xfId="132" applyNumberFormat="1" applyFont="1" applyFill="1" applyBorder="1" applyProtection="1">
      <alignment/>
      <protection/>
    </xf>
    <xf numFmtId="37" fontId="0" fillId="0" borderId="0" xfId="132" applyNumberFormat="1" applyFont="1" applyFill="1">
      <alignment/>
      <protection/>
    </xf>
    <xf numFmtId="37" fontId="0" fillId="0" borderId="0" xfId="132" applyNumberFormat="1" applyFont="1" applyFill="1" applyAlignment="1">
      <alignment horizontal="right"/>
      <protection/>
    </xf>
    <xf numFmtId="37" fontId="0" fillId="0" borderId="21" xfId="132" applyNumberFormat="1" applyFont="1" applyFill="1" applyBorder="1" applyProtection="1">
      <alignment/>
      <protection/>
    </xf>
    <xf numFmtId="37" fontId="0" fillId="0" borderId="23" xfId="132" applyNumberFormat="1" applyFont="1" applyFill="1" applyBorder="1">
      <alignment/>
      <protection/>
    </xf>
    <xf numFmtId="37" fontId="0" fillId="0" borderId="0" xfId="131" applyNumberFormat="1" applyFont="1" applyFill="1" applyBorder="1" applyAlignment="1">
      <alignment horizontal="right"/>
      <protection/>
    </xf>
    <xf numFmtId="37" fontId="0" fillId="0" borderId="23" xfId="131" applyNumberFormat="1" applyFont="1" applyFill="1" applyBorder="1">
      <alignment/>
      <protection/>
    </xf>
    <xf numFmtId="0" fontId="36" fillId="0" borderId="0" xfId="0" applyFont="1" applyAlignment="1">
      <alignment/>
    </xf>
    <xf numFmtId="0" fontId="37" fillId="0" borderId="0" xfId="0" applyFont="1" applyFill="1" applyAlignment="1">
      <alignment horizontal="centerContinuous"/>
    </xf>
    <xf numFmtId="0" fontId="38" fillId="0" borderId="0" xfId="0" applyFont="1" applyFill="1" applyAlignment="1">
      <alignment horizontal="centerContinuous"/>
    </xf>
    <xf numFmtId="0" fontId="38" fillId="0" borderId="0" xfId="0" applyFont="1" applyFill="1" applyAlignment="1">
      <alignment/>
    </xf>
    <xf numFmtId="16" fontId="37" fillId="0" borderId="0" xfId="0" applyNumberFormat="1" applyFont="1" applyFill="1" applyBorder="1" applyAlignment="1">
      <alignment horizontal="centerContinuous"/>
    </xf>
    <xf numFmtId="0" fontId="38" fillId="0" borderId="0" xfId="0" applyFont="1" applyFill="1" applyBorder="1" applyAlignment="1">
      <alignment horizontal="centerContinuous"/>
    </xf>
    <xf numFmtId="16" fontId="37" fillId="0" borderId="0" xfId="0" applyNumberFormat="1" applyFont="1" applyFill="1" applyBorder="1" applyAlignment="1" quotePrefix="1">
      <alignment horizontal="centerContinuous"/>
    </xf>
    <xf numFmtId="0" fontId="36" fillId="0" borderId="11" xfId="0" applyFont="1" applyFill="1" applyBorder="1" applyAlignment="1">
      <alignment/>
    </xf>
    <xf numFmtId="0" fontId="36" fillId="0" borderId="52" xfId="0" applyFont="1" applyFill="1" applyBorder="1" applyAlignment="1">
      <alignment horizontal="center"/>
    </xf>
    <xf numFmtId="0" fontId="36" fillId="0" borderId="45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21" xfId="0" applyFont="1" applyFill="1" applyBorder="1" applyAlignment="1">
      <alignment/>
    </xf>
    <xf numFmtId="0" fontId="36" fillId="0" borderId="31" xfId="0" applyFon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Fill="1" applyAlignment="1" quotePrefix="1">
      <alignment/>
    </xf>
    <xf numFmtId="37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37" fontId="38" fillId="0" borderId="13" xfId="0" applyNumberFormat="1" applyFont="1" applyFill="1" applyBorder="1" applyAlignment="1">
      <alignment/>
    </xf>
    <xf numFmtId="37" fontId="36" fillId="0" borderId="13" xfId="0" applyNumberFormat="1" applyFont="1" applyFill="1" applyBorder="1" applyAlignment="1">
      <alignment/>
    </xf>
    <xf numFmtId="38" fontId="38" fillId="0" borderId="13" xfId="0" applyNumberFormat="1" applyFont="1" applyFill="1" applyBorder="1" applyAlignment="1">
      <alignment/>
    </xf>
    <xf numFmtId="10" fontId="36" fillId="0" borderId="14" xfId="0" applyNumberFormat="1" applyFont="1" applyFill="1" applyBorder="1" applyAlignment="1">
      <alignment/>
    </xf>
    <xf numFmtId="9" fontId="36" fillId="0" borderId="14" xfId="0" applyNumberFormat="1" applyFont="1" applyFill="1" applyBorder="1" applyAlignment="1">
      <alignment/>
    </xf>
    <xf numFmtId="10" fontId="38" fillId="0" borderId="13" xfId="0" applyNumberFormat="1" applyFont="1" applyFill="1" applyBorder="1" applyAlignment="1">
      <alignment/>
    </xf>
    <xf numFmtId="165" fontId="36" fillId="0" borderId="13" xfId="66" applyNumberFormat="1" applyFont="1" applyFill="1" applyBorder="1" applyAlignment="1">
      <alignment/>
    </xf>
    <xf numFmtId="0" fontId="38" fillId="0" borderId="0" xfId="0" applyFont="1" applyFill="1" applyAlignment="1">
      <alignment horizontal="center"/>
    </xf>
    <xf numFmtId="37" fontId="36" fillId="0" borderId="27" xfId="0" applyNumberFormat="1" applyFont="1" applyFill="1" applyBorder="1" applyAlignment="1">
      <alignment/>
    </xf>
    <xf numFmtId="166" fontId="38" fillId="0" borderId="13" xfId="0" applyNumberFormat="1" applyFont="1" applyFill="1" applyBorder="1" applyAlignment="1">
      <alignment/>
    </xf>
    <xf numFmtId="0" fontId="38" fillId="0" borderId="13" xfId="0" applyFont="1" applyFill="1" applyBorder="1" applyAlignment="1">
      <alignment horizontal="center"/>
    </xf>
    <xf numFmtId="38" fontId="38" fillId="0" borderId="13" xfId="0" applyNumberFormat="1" applyFont="1" applyFill="1" applyBorder="1" applyAlignment="1">
      <alignment horizontal="center"/>
    </xf>
    <xf numFmtId="38" fontId="36" fillId="0" borderId="32" xfId="0" applyNumberFormat="1" applyFont="1" applyFill="1" applyBorder="1" applyAlignment="1">
      <alignment/>
    </xf>
    <xf numFmtId="38" fontId="36" fillId="0" borderId="27" xfId="0" applyNumberFormat="1" applyFont="1" applyFill="1" applyBorder="1" applyAlignment="1">
      <alignment/>
    </xf>
    <xf numFmtId="37" fontId="36" fillId="0" borderId="41" xfId="0" applyNumberFormat="1" applyFont="1" applyFill="1" applyBorder="1" applyAlignment="1">
      <alignment/>
    </xf>
    <xf numFmtId="38" fontId="36" fillId="0" borderId="13" xfId="0" applyNumberFormat="1" applyFont="1" applyFill="1" applyBorder="1" applyAlignment="1">
      <alignment/>
    </xf>
    <xf numFmtId="0" fontId="36" fillId="0" borderId="0" xfId="0" applyFont="1" applyAlignment="1">
      <alignment horizontal="center" vertical="top"/>
    </xf>
    <xf numFmtId="0" fontId="36" fillId="0" borderId="0" xfId="0" applyFont="1" applyFill="1" applyAlignment="1">
      <alignment wrapText="1"/>
    </xf>
    <xf numFmtId="38" fontId="36" fillId="0" borderId="41" xfId="0" applyNumberFormat="1" applyFont="1" applyFill="1" applyBorder="1" applyAlignment="1">
      <alignment/>
    </xf>
    <xf numFmtId="0" fontId="36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37" fontId="37" fillId="0" borderId="19" xfId="0" applyNumberFormat="1" applyFont="1" applyFill="1" applyBorder="1" applyAlignment="1">
      <alignment/>
    </xf>
    <xf numFmtId="37" fontId="38" fillId="0" borderId="50" xfId="0" applyNumberFormat="1" applyFont="1" applyFill="1" applyBorder="1" applyAlignment="1">
      <alignment/>
    </xf>
    <xf numFmtId="0" fontId="39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16" fontId="39" fillId="0" borderId="0" xfId="0" applyNumberFormat="1" applyFont="1" applyFill="1" applyBorder="1" applyAlignment="1">
      <alignment horizontal="centerContinuous"/>
    </xf>
    <xf numFmtId="0" fontId="36" fillId="0" borderId="0" xfId="0" applyFont="1" applyFill="1" applyBorder="1" applyAlignment="1">
      <alignment horizontal="centerContinuous"/>
    </xf>
    <xf numFmtId="16" fontId="36" fillId="0" borderId="0" xfId="0" applyNumberFormat="1" applyFont="1" applyFill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16" fontId="39" fillId="0" borderId="21" xfId="0" applyNumberFormat="1" applyFont="1" applyFill="1" applyBorder="1" applyAlignment="1">
      <alignment horizontal="left"/>
    </xf>
    <xf numFmtId="0" fontId="36" fillId="0" borderId="21" xfId="0" applyFont="1" applyFill="1" applyBorder="1" applyAlignment="1">
      <alignment horizontal="centerContinuous"/>
    </xf>
    <xf numFmtId="0" fontId="36" fillId="0" borderId="13" xfId="0" applyFont="1" applyFill="1" applyBorder="1" applyAlignment="1">
      <alignment horizontal="center"/>
    </xf>
    <xf numFmtId="0" fontId="36" fillId="0" borderId="0" xfId="0" applyFont="1" applyFill="1" applyAlignment="1" quotePrefix="1">
      <alignment/>
    </xf>
    <xf numFmtId="37" fontId="36" fillId="0" borderId="22" xfId="0" applyNumberFormat="1" applyFont="1" applyFill="1" applyBorder="1" applyAlignment="1">
      <alignment horizontal="center"/>
    </xf>
    <xf numFmtId="37" fontId="36" fillId="0" borderId="0" xfId="0" applyNumberFormat="1" applyFont="1" applyFill="1" applyBorder="1" applyAlignment="1">
      <alignment horizontal="center"/>
    </xf>
    <xf numFmtId="37" fontId="36" fillId="0" borderId="41" xfId="0" applyNumberFormat="1" applyFont="1" applyFill="1" applyBorder="1" applyAlignment="1">
      <alignment horizontal="center"/>
    </xf>
    <xf numFmtId="37" fontId="36" fillId="0" borderId="13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/>
    </xf>
    <xf numFmtId="37" fontId="36" fillId="0" borderId="22" xfId="0" applyNumberFormat="1" applyFont="1" applyFill="1" applyBorder="1" applyAlignment="1">
      <alignment/>
    </xf>
    <xf numFmtId="37" fontId="36" fillId="0" borderId="0" xfId="0" applyNumberFormat="1" applyFont="1" applyFill="1" applyBorder="1" applyAlignment="1">
      <alignment/>
    </xf>
    <xf numFmtId="38" fontId="36" fillId="0" borderId="26" xfId="0" applyNumberFormat="1" applyFont="1" applyFill="1" applyBorder="1" applyAlignment="1">
      <alignment/>
    </xf>
    <xf numFmtId="38" fontId="36" fillId="0" borderId="11" xfId="0" applyNumberFormat="1" applyFont="1" applyFill="1" applyBorder="1" applyAlignment="1">
      <alignment/>
    </xf>
    <xf numFmtId="38" fontId="36" fillId="0" borderId="32" xfId="0" applyNumberFormat="1" applyFont="1" applyFill="1" applyBorder="1" applyAlignment="1">
      <alignment horizontal="right"/>
    </xf>
    <xf numFmtId="10" fontId="36" fillId="0" borderId="22" xfId="0" applyNumberFormat="1" applyFont="1" applyFill="1" applyBorder="1" applyAlignment="1">
      <alignment/>
    </xf>
    <xf numFmtId="10" fontId="36" fillId="0" borderId="0" xfId="0" applyNumberFormat="1" applyFont="1" applyFill="1" applyBorder="1" applyAlignment="1">
      <alignment/>
    </xf>
    <xf numFmtId="38" fontId="36" fillId="0" borderId="0" xfId="0" applyNumberFormat="1" applyFont="1" applyFill="1" applyBorder="1" applyAlignment="1">
      <alignment/>
    </xf>
    <xf numFmtId="10" fontId="36" fillId="0" borderId="13" xfId="0" applyNumberFormat="1" applyFont="1" applyFill="1" applyBorder="1" applyAlignment="1">
      <alignment/>
    </xf>
    <xf numFmtId="38" fontId="36" fillId="0" borderId="41" xfId="0" applyNumberFormat="1" applyFont="1" applyFill="1" applyBorder="1" applyAlignment="1">
      <alignment horizontal="right"/>
    </xf>
    <xf numFmtId="0" fontId="36" fillId="0" borderId="22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37" fontId="36" fillId="0" borderId="26" xfId="0" applyNumberFormat="1" applyFont="1" applyFill="1" applyBorder="1" applyAlignment="1">
      <alignment/>
    </xf>
    <xf numFmtId="37" fontId="36" fillId="0" borderId="11" xfId="0" applyNumberFormat="1" applyFont="1" applyFill="1" applyBorder="1" applyAlignment="1">
      <alignment/>
    </xf>
    <xf numFmtId="166" fontId="36" fillId="0" borderId="22" xfId="0" applyNumberFormat="1" applyFont="1" applyFill="1" applyBorder="1" applyAlignment="1">
      <alignment/>
    </xf>
    <xf numFmtId="166" fontId="36" fillId="0" borderId="0" xfId="0" applyNumberFormat="1" applyFont="1" applyFill="1" applyBorder="1" applyAlignment="1">
      <alignment/>
    </xf>
    <xf numFmtId="166" fontId="36" fillId="0" borderId="41" xfId="0" applyNumberFormat="1" applyFont="1" applyFill="1" applyBorder="1" applyAlignment="1">
      <alignment horizontal="right"/>
    </xf>
    <xf numFmtId="166" fontId="36" fillId="0" borderId="13" xfId="0" applyNumberFormat="1" applyFont="1" applyFill="1" applyBorder="1" applyAlignment="1">
      <alignment/>
    </xf>
    <xf numFmtId="38" fontId="36" fillId="0" borderId="0" xfId="0" applyNumberFormat="1" applyFont="1" applyFill="1" applyBorder="1" applyAlignment="1">
      <alignment horizontal="center"/>
    </xf>
    <xf numFmtId="38" fontId="36" fillId="0" borderId="14" xfId="0" applyNumberFormat="1" applyFont="1" applyFill="1" applyBorder="1" applyAlignment="1">
      <alignment/>
    </xf>
    <xf numFmtId="37" fontId="39" fillId="0" borderId="55" xfId="0" applyNumberFormat="1" applyFont="1" applyFill="1" applyBorder="1" applyAlignment="1">
      <alignment/>
    </xf>
    <xf numFmtId="37" fontId="39" fillId="0" borderId="23" xfId="0" applyNumberFormat="1" applyFont="1" applyFill="1" applyBorder="1" applyAlignment="1">
      <alignment/>
    </xf>
    <xf numFmtId="37" fontId="39" fillId="0" borderId="19" xfId="0" applyNumberFormat="1" applyFont="1" applyFill="1" applyBorder="1" applyAlignment="1">
      <alignment/>
    </xf>
    <xf numFmtId="38" fontId="39" fillId="0" borderId="19" xfId="0" applyNumberFormat="1" applyFont="1" applyFill="1" applyBorder="1" applyAlignment="1">
      <alignment/>
    </xf>
    <xf numFmtId="37" fontId="39" fillId="0" borderId="0" xfId="0" applyNumberFormat="1" applyFont="1" applyFill="1" applyBorder="1" applyAlignment="1">
      <alignment/>
    </xf>
    <xf numFmtId="0" fontId="36" fillId="0" borderId="50" xfId="0" applyFont="1" applyFill="1" applyBorder="1" applyAlignment="1">
      <alignment/>
    </xf>
    <xf numFmtId="38" fontId="36" fillId="0" borderId="50" xfId="0" applyNumberFormat="1" applyFont="1" applyFill="1" applyBorder="1" applyAlignment="1">
      <alignment/>
    </xf>
    <xf numFmtId="0" fontId="39" fillId="0" borderId="26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3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37" fontId="39" fillId="0" borderId="48" xfId="0" applyNumberFormat="1" applyFont="1" applyFill="1" applyBorder="1" applyAlignment="1">
      <alignment/>
    </xf>
    <xf numFmtId="0" fontId="36" fillId="0" borderId="0" xfId="0" applyFont="1" applyBorder="1" applyAlignment="1">
      <alignment/>
    </xf>
  </cellXfs>
  <cellStyles count="14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10" xfId="68"/>
    <cellStyle name="Comma 2" xfId="69"/>
    <cellStyle name="Comma 2 2" xfId="70"/>
    <cellStyle name="Comma 2 2 2" xfId="71"/>
    <cellStyle name="Comma 3" xfId="72"/>
    <cellStyle name="Comma 4" xfId="73"/>
    <cellStyle name="Comma 5" xfId="74"/>
    <cellStyle name="Comma 7" xfId="75"/>
    <cellStyle name="Comma 8" xfId="76"/>
    <cellStyle name="Comma 9" xfId="77"/>
    <cellStyle name="Currency" xfId="78"/>
    <cellStyle name="Currency [0]" xfId="79"/>
    <cellStyle name="Currency 2" xfId="80"/>
    <cellStyle name="Currency 2 2" xfId="81"/>
    <cellStyle name="Currency 3" xfId="82"/>
    <cellStyle name="Currency 4" xfId="83"/>
    <cellStyle name="Currency 5" xfId="84"/>
    <cellStyle name="Currency 6" xfId="85"/>
    <cellStyle name="Currency 7" xfId="86"/>
    <cellStyle name="Currency 8" xfId="87"/>
    <cellStyle name="Currency 9" xfId="88"/>
    <cellStyle name="Entered" xfId="89"/>
    <cellStyle name="Explanatory Text" xfId="90"/>
    <cellStyle name="Followed Hyperlink" xfId="91"/>
    <cellStyle name="Good" xfId="92"/>
    <cellStyle name="Grey" xfId="93"/>
    <cellStyle name="Heading 1" xfId="94"/>
    <cellStyle name="Heading 2" xfId="95"/>
    <cellStyle name="Heading 3" xfId="96"/>
    <cellStyle name="Heading 4" xfId="97"/>
    <cellStyle name="Heading1" xfId="98"/>
    <cellStyle name="Heading2" xfId="99"/>
    <cellStyle name="Hyperlink" xfId="100"/>
    <cellStyle name="Input" xfId="101"/>
    <cellStyle name="Input [yellow]" xfId="102"/>
    <cellStyle name="Linked Cell" xfId="103"/>
    <cellStyle name="Neutral" xfId="104"/>
    <cellStyle name="Normal - Style1" xfId="105"/>
    <cellStyle name="Normal 10" xfId="106"/>
    <cellStyle name="Normal 11" xfId="107"/>
    <cellStyle name="Normal 12" xfId="108"/>
    <cellStyle name="Normal 2" xfId="109"/>
    <cellStyle name="Normal 2 2" xfId="110"/>
    <cellStyle name="Normal 2 2 2" xfId="111"/>
    <cellStyle name="Normal 2 2 2 2" xfId="112"/>
    <cellStyle name="Normal 2 2 3" xfId="113"/>
    <cellStyle name="Normal 2 3" xfId="114"/>
    <cellStyle name="Normal 2 4" xfId="115"/>
    <cellStyle name="Normal 2 5" xfId="116"/>
    <cellStyle name="Normal 2 6" xfId="117"/>
    <cellStyle name="Normal 2 7" xfId="118"/>
    <cellStyle name="Normal 3 2" xfId="119"/>
    <cellStyle name="Normal 3 3" xfId="120"/>
    <cellStyle name="Normal 3 4" xfId="121"/>
    <cellStyle name="Normal 3 5" xfId="122"/>
    <cellStyle name="Normal 4" xfId="123"/>
    <cellStyle name="Normal 4 2" xfId="124"/>
    <cellStyle name="Normal 4_SFAS 157 Disclosures_ Q2 2008" xfId="125"/>
    <cellStyle name="Normal 5" xfId="126"/>
    <cellStyle name="Normal 9" xfId="127"/>
    <cellStyle name="Normal_Book1" xfId="128"/>
    <cellStyle name="Normal_Net Additions from Lien Date to Test Year" xfId="129"/>
    <cellStyle name="Normal_Plant analysis dec 08 to mar 10" xfId="130"/>
    <cellStyle name="Normal_WS09-10" xfId="131"/>
    <cellStyle name="Normal_WS09-10NG" xfId="132"/>
    <cellStyle name="Note" xfId="133"/>
    <cellStyle name="Note 10" xfId="134"/>
    <cellStyle name="Note 11" xfId="135"/>
    <cellStyle name="Note 12" xfId="136"/>
    <cellStyle name="Note 2" xfId="137"/>
    <cellStyle name="Note 3" xfId="138"/>
    <cellStyle name="Note 4" xfId="139"/>
    <cellStyle name="Note 5" xfId="140"/>
    <cellStyle name="Note 6" xfId="141"/>
    <cellStyle name="Note 7" xfId="142"/>
    <cellStyle name="Note 8" xfId="143"/>
    <cellStyle name="Note 9" xfId="144"/>
    <cellStyle name="Output" xfId="145"/>
    <cellStyle name="Percent" xfId="146"/>
    <cellStyle name="Percent [2]" xfId="147"/>
    <cellStyle name="Percent 2" xfId="148"/>
    <cellStyle name="Percent 2 2" xfId="149"/>
    <cellStyle name="Percent 3" xfId="150"/>
    <cellStyle name="Percent 4" xfId="151"/>
    <cellStyle name="StmtTtl1" xfId="152"/>
    <cellStyle name="StmtTtl2" xfId="153"/>
    <cellStyle name="Style 1" xfId="154"/>
    <cellStyle name="Title" xfId="155"/>
    <cellStyle name="Total" xfId="156"/>
    <cellStyle name="Warning Text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Plant Additions after January 1, 2010 Lien Date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45"/>
          <c:w val="0.933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'Additions - monthly detail'!$C$59:$G$59</c:f>
              <c:strCache/>
            </c:strRef>
          </c:cat>
          <c:val>
            <c:numRef>
              <c:f>'Additions - monthly detail'!$C$60:$G$60</c:f>
              <c:numCache/>
            </c:numRef>
          </c:val>
        </c:ser>
        <c:axId val="34449287"/>
        <c:axId val="41608128"/>
      </c:barChart>
      <c:catAx>
        <c:axId val="3444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128"/>
        <c:crosses val="autoZero"/>
        <c:auto val="1"/>
        <c:lblOffset val="100"/>
        <c:tickLblSkip val="1"/>
        <c:noMultiLvlLbl val="0"/>
      </c:catAx>
      <c:valAx>
        <c:axId val="41608128"/>
        <c:scaling>
          <c:orientation val="minMax"/>
          <c:max val="50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4928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025"/>
                <c:y val="0.013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Activity</a:t>
            </a:r>
          </a:p>
        </c:rich>
      </c:tx>
      <c:layout>
        <c:manualLayout>
          <c:xMode val="factor"/>
          <c:yMode val="factor"/>
          <c:x val="-0.001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575"/>
          <c:w val="0.954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'Additions - monthly detail'!$C$5:$O$5</c:f>
              <c:strCache/>
            </c:strRef>
          </c:cat>
          <c:val>
            <c:numRef>
              <c:f>'Additions - monthly detail'!$C$53:$O$53</c:f>
              <c:numCache/>
            </c:numRef>
          </c:val>
        </c:ser>
        <c:axId val="38928833"/>
        <c:axId val="14815178"/>
      </c:barChart>
      <c:dateAx>
        <c:axId val="3892883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517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4815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2883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075"/>
                <c:y val="0.048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Activity Cumulative</a:t>
            </a:r>
          </a:p>
        </c:rich>
      </c:tx>
      <c:layout>
        <c:manualLayout>
          <c:xMode val="factor"/>
          <c:yMode val="factor"/>
          <c:x val="0.07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3"/>
          <c:w val="0.974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'Additions - monthly detail'!$C$54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'Additions - monthly detail'!$D$54:$O$54</c:f>
              <c:numCache/>
            </c:numRef>
          </c:val>
        </c:ser>
        <c:axId val="66227739"/>
        <c:axId val="59178740"/>
      </c:barChart>
      <c:catAx>
        <c:axId val="6622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8740"/>
        <c:crosses val="autoZero"/>
        <c:auto val="1"/>
        <c:lblOffset val="100"/>
        <c:tickLblSkip val="1"/>
        <c:noMultiLvlLbl val="0"/>
      </c:catAx>
      <c:valAx>
        <c:axId val="59178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2773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025"/>
                <c:y val="0.013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16</xdr:col>
      <xdr:colOff>466725</xdr:colOff>
      <xdr:row>48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123825" y="57150"/>
          <a:ext cx="10096500" cy="778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61</xdr:row>
      <xdr:rowOff>76200</xdr:rowOff>
    </xdr:from>
    <xdr:to>
      <xdr:col>4</xdr:col>
      <xdr:colOff>209550</xdr:colOff>
      <xdr:row>82</xdr:row>
      <xdr:rowOff>28575</xdr:rowOff>
    </xdr:to>
    <xdr:graphicFrame>
      <xdr:nvGraphicFramePr>
        <xdr:cNvPr id="1" name="Chart 1"/>
        <xdr:cNvGraphicFramePr/>
      </xdr:nvGraphicFramePr>
      <xdr:xfrm>
        <a:off x="466725" y="9953625"/>
        <a:ext cx="53244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952500</xdr:colOff>
      <xdr:row>61</xdr:row>
      <xdr:rowOff>123825</xdr:rowOff>
    </xdr:from>
    <xdr:to>
      <xdr:col>11</xdr:col>
      <xdr:colOff>200025</xdr:colOff>
      <xdr:row>82</xdr:row>
      <xdr:rowOff>47625</xdr:rowOff>
    </xdr:to>
    <xdr:graphicFrame>
      <xdr:nvGraphicFramePr>
        <xdr:cNvPr id="2" name="Chart 2"/>
        <xdr:cNvGraphicFramePr/>
      </xdr:nvGraphicFramePr>
      <xdr:xfrm>
        <a:off x="6534150" y="10001250"/>
        <a:ext cx="73152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647700</xdr:colOff>
      <xdr:row>61</xdr:row>
      <xdr:rowOff>76200</xdr:rowOff>
    </xdr:from>
    <xdr:to>
      <xdr:col>15</xdr:col>
      <xdr:colOff>666750</xdr:colOff>
      <xdr:row>82</xdr:row>
      <xdr:rowOff>57150</xdr:rowOff>
    </xdr:to>
    <xdr:graphicFrame>
      <xdr:nvGraphicFramePr>
        <xdr:cNvPr id="3" name="Chart 3"/>
        <xdr:cNvGraphicFramePr/>
      </xdr:nvGraphicFramePr>
      <xdr:xfrm>
        <a:off x="14297025" y="9953625"/>
        <a:ext cx="46291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60" zoomScalePageLayoutView="0" workbookViewId="0" topLeftCell="A1">
      <selection activeCell="F9" sqref="F9"/>
    </sheetView>
  </sheetViews>
  <sheetFormatPr defaultColWidth="9.140625" defaultRowHeight="12.75"/>
  <cols>
    <col min="1" max="1" width="7.140625" style="0" customWidth="1"/>
    <col min="2" max="2" width="45.00390625" style="0" customWidth="1"/>
    <col min="3" max="3" width="8.7109375" style="0" bestFit="1" customWidth="1"/>
    <col min="4" max="4" width="15.7109375" style="0" bestFit="1" customWidth="1"/>
    <col min="5" max="5" width="15.28125" style="0" customWidth="1"/>
    <col min="6" max="6" width="12.7109375" style="0" bestFit="1" customWidth="1"/>
    <col min="7" max="7" width="13.28125" style="0" bestFit="1" customWidth="1"/>
    <col min="8" max="8" width="12.8515625" style="0" customWidth="1"/>
    <col min="9" max="9" width="15.7109375" style="0" bestFit="1" customWidth="1"/>
    <col min="10" max="10" width="14.140625" style="0" bestFit="1" customWidth="1"/>
  </cols>
  <sheetData>
    <row r="1" spans="1:11" ht="15.75">
      <c r="A1" s="389"/>
      <c r="B1" s="390" t="s">
        <v>297</v>
      </c>
      <c r="C1" s="391"/>
      <c r="D1" s="391"/>
      <c r="E1" s="391"/>
      <c r="F1" s="391"/>
      <c r="G1" s="391"/>
      <c r="H1" s="391"/>
      <c r="I1" s="391"/>
      <c r="J1" s="392"/>
      <c r="K1" s="14"/>
    </row>
    <row r="2" spans="1:11" ht="15.75">
      <c r="A2" s="389"/>
      <c r="B2" s="390" t="s">
        <v>22</v>
      </c>
      <c r="C2" s="391"/>
      <c r="D2" s="391"/>
      <c r="E2" s="391"/>
      <c r="F2" s="391"/>
      <c r="G2" s="391"/>
      <c r="H2" s="391"/>
      <c r="I2" s="391"/>
      <c r="J2" s="392"/>
      <c r="K2" s="14"/>
    </row>
    <row r="3" spans="1:11" ht="15.75">
      <c r="A3" s="389"/>
      <c r="B3" s="390" t="s">
        <v>248</v>
      </c>
      <c r="C3" s="391"/>
      <c r="D3" s="391"/>
      <c r="E3" s="391"/>
      <c r="F3" s="391"/>
      <c r="G3" s="391"/>
      <c r="H3" s="391"/>
      <c r="I3" s="391"/>
      <c r="J3" s="392"/>
      <c r="K3" s="14"/>
    </row>
    <row r="4" spans="1:11" ht="15.75">
      <c r="A4" s="389"/>
      <c r="B4" s="393" t="s">
        <v>249</v>
      </c>
      <c r="C4" s="394"/>
      <c r="D4" s="394"/>
      <c r="E4" s="394"/>
      <c r="F4" s="394"/>
      <c r="G4" s="394"/>
      <c r="H4" s="394"/>
      <c r="I4" s="394"/>
      <c r="J4" s="392"/>
      <c r="K4" s="14"/>
    </row>
    <row r="5" spans="1:11" ht="15.75">
      <c r="A5" s="389"/>
      <c r="B5" s="395"/>
      <c r="C5" s="394"/>
      <c r="D5" s="394"/>
      <c r="E5" s="394"/>
      <c r="F5" s="394"/>
      <c r="G5" s="394"/>
      <c r="H5" s="394"/>
      <c r="I5" s="394"/>
      <c r="J5" s="392"/>
      <c r="K5" s="14"/>
    </row>
    <row r="6" spans="1:11" ht="15.75">
      <c r="A6" s="389"/>
      <c r="B6" s="395"/>
      <c r="C6" s="394"/>
      <c r="D6" s="394"/>
      <c r="E6" s="394"/>
      <c r="F6" s="394"/>
      <c r="G6" s="394"/>
      <c r="H6" s="394"/>
      <c r="I6" s="394"/>
      <c r="J6" s="392"/>
      <c r="K6" s="14"/>
    </row>
    <row r="7" spans="1:11" ht="15.75">
      <c r="A7" s="389" t="s">
        <v>250</v>
      </c>
      <c r="B7" s="395"/>
      <c r="C7" s="394"/>
      <c r="D7" s="394"/>
      <c r="E7" s="394"/>
      <c r="F7" s="394"/>
      <c r="G7" s="394"/>
      <c r="H7" s="394"/>
      <c r="I7" s="394"/>
      <c r="J7" s="392"/>
      <c r="K7" s="14"/>
    </row>
    <row r="8" spans="1:11" ht="15.75">
      <c r="A8" s="396"/>
      <c r="B8" s="396"/>
      <c r="C8" s="396"/>
      <c r="D8" s="397"/>
      <c r="E8" s="398"/>
      <c r="F8" s="398" t="s">
        <v>56</v>
      </c>
      <c r="G8" s="398"/>
      <c r="H8" s="399"/>
      <c r="I8" s="400" t="s">
        <v>101</v>
      </c>
      <c r="J8" s="401" t="s">
        <v>76</v>
      </c>
      <c r="K8" s="14"/>
    </row>
    <row r="9" spans="1:11" ht="15.75">
      <c r="A9" s="402" t="s">
        <v>66</v>
      </c>
      <c r="B9" s="402"/>
      <c r="C9" s="402"/>
      <c r="D9" s="403" t="s">
        <v>100</v>
      </c>
      <c r="E9" s="404" t="s">
        <v>7</v>
      </c>
      <c r="F9" s="404" t="s">
        <v>4</v>
      </c>
      <c r="G9" s="404" t="s">
        <v>4</v>
      </c>
      <c r="H9" s="405" t="s">
        <v>75</v>
      </c>
      <c r="I9" s="406" t="s">
        <v>100</v>
      </c>
      <c r="J9" s="406" t="s">
        <v>17</v>
      </c>
      <c r="K9" s="14"/>
    </row>
    <row r="10" spans="1:11" ht="15.75">
      <c r="A10" s="407">
        <v>1</v>
      </c>
      <c r="B10" s="408"/>
      <c r="C10" s="408"/>
      <c r="D10" s="409"/>
      <c r="E10" s="409"/>
      <c r="F10" s="409" t="s">
        <v>9</v>
      </c>
      <c r="G10" s="409" t="s">
        <v>10</v>
      </c>
      <c r="H10" s="410"/>
      <c r="I10" s="409"/>
      <c r="J10" s="409"/>
      <c r="K10" s="14"/>
    </row>
    <row r="11" spans="1:11" ht="15.75">
      <c r="A11" s="407">
        <v>2</v>
      </c>
      <c r="B11" s="411" t="s">
        <v>251</v>
      </c>
      <c r="C11" s="412"/>
      <c r="D11" s="413">
        <v>2319559000</v>
      </c>
      <c r="E11" s="414">
        <v>427038763</v>
      </c>
      <c r="F11" s="413">
        <v>55300000</v>
      </c>
      <c r="G11" s="413">
        <v>55300000</v>
      </c>
      <c r="H11" s="415"/>
      <c r="I11" s="413">
        <v>1378923000</v>
      </c>
      <c r="J11" s="413"/>
      <c r="K11" s="14"/>
    </row>
    <row r="12" spans="1:11" ht="15.75">
      <c r="A12" s="407">
        <v>3</v>
      </c>
      <c r="B12" s="392"/>
      <c r="C12" s="412"/>
      <c r="D12" s="416">
        <v>0.095</v>
      </c>
      <c r="E12" s="416">
        <v>0.05</v>
      </c>
      <c r="F12" s="417">
        <v>0</v>
      </c>
      <c r="G12" s="417">
        <v>0</v>
      </c>
      <c r="H12" s="415"/>
      <c r="I12" s="416">
        <v>0.0275</v>
      </c>
      <c r="J12" s="416"/>
      <c r="K12" s="14"/>
    </row>
    <row r="13" spans="1:11" ht="15.75">
      <c r="A13" s="407">
        <v>4</v>
      </c>
      <c r="B13" s="392" t="s">
        <v>268</v>
      </c>
      <c r="C13" s="412" t="s">
        <v>8</v>
      </c>
      <c r="D13" s="415">
        <f>+D11*D12</f>
        <v>220358105</v>
      </c>
      <c r="E13" s="415">
        <f>+E11*E12</f>
        <v>21351938.150000002</v>
      </c>
      <c r="F13" s="415">
        <f>+F11*F12</f>
        <v>0</v>
      </c>
      <c r="G13" s="413">
        <v>-2304167</v>
      </c>
      <c r="H13" s="415"/>
      <c r="I13" s="415">
        <f>+I11*I12</f>
        <v>37920382.5</v>
      </c>
      <c r="J13" s="415"/>
      <c r="K13" s="14"/>
    </row>
    <row r="14" spans="1:11" ht="15.75">
      <c r="A14" s="407">
        <v>5</v>
      </c>
      <c r="B14" s="392"/>
      <c r="C14" s="412"/>
      <c r="D14" s="418"/>
      <c r="E14" s="418"/>
      <c r="F14" s="418"/>
      <c r="G14" s="415"/>
      <c r="H14" s="415"/>
      <c r="I14" s="418"/>
      <c r="J14" s="418"/>
      <c r="K14" s="14"/>
    </row>
    <row r="15" spans="1:11" ht="15.75">
      <c r="A15" s="407">
        <v>6</v>
      </c>
      <c r="B15" s="392" t="s">
        <v>252</v>
      </c>
      <c r="C15" s="412"/>
      <c r="D15" s="419">
        <f>+D11+D13</f>
        <v>2539917105</v>
      </c>
      <c r="E15" s="419">
        <f>+E11+E13</f>
        <v>448390701.15</v>
      </c>
      <c r="F15" s="419">
        <f>+F11+F13</f>
        <v>55300000</v>
      </c>
      <c r="G15" s="419">
        <f>+G11+G13</f>
        <v>52995833</v>
      </c>
      <c r="H15" s="415"/>
      <c r="I15" s="419">
        <f>+I11+I13</f>
        <v>1416843382.5</v>
      </c>
      <c r="J15" s="419"/>
      <c r="K15" s="14"/>
    </row>
    <row r="16" spans="1:11" ht="15.75">
      <c r="A16" s="407">
        <v>7</v>
      </c>
      <c r="B16" s="420"/>
      <c r="C16" s="412"/>
      <c r="D16" s="418"/>
      <c r="E16" s="418"/>
      <c r="F16" s="415"/>
      <c r="G16" s="415"/>
      <c r="H16" s="415"/>
      <c r="I16" s="418"/>
      <c r="J16" s="418"/>
      <c r="K16" s="14"/>
    </row>
    <row r="17" spans="1:11" ht="15.75">
      <c r="A17" s="407">
        <v>8</v>
      </c>
      <c r="B17" s="411" t="s">
        <v>79</v>
      </c>
      <c r="C17" s="412" t="s">
        <v>8</v>
      </c>
      <c r="D17" s="418">
        <v>0.9541</v>
      </c>
      <c r="E17" s="418">
        <v>0.0656</v>
      </c>
      <c r="F17" s="418"/>
      <c r="G17" s="418"/>
      <c r="H17" s="415"/>
      <c r="I17" s="418">
        <v>0.9673</v>
      </c>
      <c r="J17" s="418"/>
      <c r="K17" s="14"/>
    </row>
    <row r="18" spans="1:11" ht="15.75">
      <c r="A18" s="407">
        <v>9</v>
      </c>
      <c r="B18" s="392"/>
      <c r="C18" s="412"/>
      <c r="D18" s="410"/>
      <c r="E18" s="410"/>
      <c r="F18" s="410"/>
      <c r="G18" s="415"/>
      <c r="H18" s="415"/>
      <c r="I18" s="410"/>
      <c r="J18" s="410"/>
      <c r="K18" s="14"/>
    </row>
    <row r="19" spans="1:11" ht="15.75">
      <c r="A19" s="407">
        <v>10</v>
      </c>
      <c r="B19" s="411" t="s">
        <v>16</v>
      </c>
      <c r="C19" s="412"/>
      <c r="D19" s="421">
        <f>ROUND(D15*D17,0)</f>
        <v>2423334910</v>
      </c>
      <c r="E19" s="421">
        <f>ROUND(E15*E17,0)</f>
        <v>29414430</v>
      </c>
      <c r="F19" s="421">
        <f>+F15+F16</f>
        <v>55300000</v>
      </c>
      <c r="G19" s="421">
        <f>+G15+G16</f>
        <v>52995833</v>
      </c>
      <c r="H19" s="415"/>
      <c r="I19" s="421">
        <f>ROUND(I15*I17,0)</f>
        <v>1370512604</v>
      </c>
      <c r="J19" s="414"/>
      <c r="K19" s="14"/>
    </row>
    <row r="20" spans="1:11" ht="15.75">
      <c r="A20" s="407">
        <v>11</v>
      </c>
      <c r="B20" s="392"/>
      <c r="C20" s="392"/>
      <c r="D20" s="410"/>
      <c r="E20" s="410"/>
      <c r="F20" s="410"/>
      <c r="G20" s="415"/>
      <c r="H20" s="415"/>
      <c r="I20" s="410"/>
      <c r="J20" s="410"/>
      <c r="K20" s="14"/>
    </row>
    <row r="21" spans="1:11" ht="15.75">
      <c r="A21" s="407">
        <v>12</v>
      </c>
      <c r="B21" s="411" t="s">
        <v>80</v>
      </c>
      <c r="C21" s="412" t="s">
        <v>8</v>
      </c>
      <c r="D21" s="422">
        <v>11.67</v>
      </c>
      <c r="E21" s="422">
        <v>304.948</v>
      </c>
      <c r="F21" s="422">
        <v>11.3722</v>
      </c>
      <c r="G21" s="422">
        <v>11.496</v>
      </c>
      <c r="H21" s="415"/>
      <c r="I21" s="422">
        <v>12.32</v>
      </c>
      <c r="J21" s="422"/>
      <c r="K21" s="14"/>
    </row>
    <row r="22" spans="1:11" ht="15.75">
      <c r="A22" s="407">
        <v>13</v>
      </c>
      <c r="B22" s="392"/>
      <c r="C22" s="392"/>
      <c r="D22" s="410"/>
      <c r="E22" s="410"/>
      <c r="F22" s="423"/>
      <c r="G22" s="424"/>
      <c r="H22" s="415"/>
      <c r="I22" s="410"/>
      <c r="J22" s="410"/>
      <c r="K22" s="14"/>
    </row>
    <row r="23" spans="1:11" ht="15.75">
      <c r="A23" s="407">
        <v>14</v>
      </c>
      <c r="B23" s="411" t="s">
        <v>18</v>
      </c>
      <c r="C23" s="412" t="s">
        <v>8</v>
      </c>
      <c r="D23" s="421">
        <f>ROUND(D19*D21/1000,0)</f>
        <v>28280318</v>
      </c>
      <c r="E23" s="421">
        <f>ROUND(E19*E21/1000,0)</f>
        <v>8969872</v>
      </c>
      <c r="F23" s="421">
        <f>ROUND(F19*F21/1000,0)/2+19</f>
        <v>314460.5</v>
      </c>
      <c r="G23" s="421">
        <f>ROUND(G19*G21/1000,0)/2</f>
        <v>304620</v>
      </c>
      <c r="H23" s="425">
        <f>SUM(D23:G23)</f>
        <v>37869270.5</v>
      </c>
      <c r="I23" s="421">
        <f>ROUND(I19*I21/1000,0)</f>
        <v>16884715</v>
      </c>
      <c r="J23" s="426">
        <f>+H23+I23</f>
        <v>54753985.5</v>
      </c>
      <c r="K23" s="14"/>
    </row>
    <row r="24" spans="1:11" ht="15.75">
      <c r="A24" s="407">
        <v>15</v>
      </c>
      <c r="B24" s="392"/>
      <c r="C24" s="392"/>
      <c r="D24" s="413"/>
      <c r="E24" s="413"/>
      <c r="F24" s="413"/>
      <c r="G24" s="413"/>
      <c r="H24" s="427"/>
      <c r="I24" s="413"/>
      <c r="J24" s="428"/>
      <c r="K24" s="14"/>
    </row>
    <row r="25" spans="1:11" ht="31.5">
      <c r="A25" s="429">
        <v>16</v>
      </c>
      <c r="B25" s="430" t="s">
        <v>21</v>
      </c>
      <c r="C25" s="412" t="s">
        <v>8</v>
      </c>
      <c r="D25" s="413">
        <v>220000</v>
      </c>
      <c r="E25" s="413">
        <v>0</v>
      </c>
      <c r="F25" s="413"/>
      <c r="G25" s="415">
        <v>0</v>
      </c>
      <c r="H25" s="431">
        <f>SUM(D25:G25)</f>
        <v>220000</v>
      </c>
      <c r="I25" s="413">
        <v>40000</v>
      </c>
      <c r="J25" s="428">
        <f>+H25+I25</f>
        <v>260000</v>
      </c>
      <c r="K25" s="14"/>
    </row>
    <row r="26" spans="1:11" ht="15.75">
      <c r="A26" s="407">
        <v>17</v>
      </c>
      <c r="B26" s="411" t="s">
        <v>78</v>
      </c>
      <c r="C26" s="412" t="s">
        <v>8</v>
      </c>
      <c r="D26" s="413">
        <v>95000</v>
      </c>
      <c r="E26" s="413">
        <v>0</v>
      </c>
      <c r="F26" s="413"/>
      <c r="G26" s="415">
        <v>0</v>
      </c>
      <c r="H26" s="431">
        <f>SUM(D26:G26)</f>
        <v>95000</v>
      </c>
      <c r="I26" s="413">
        <v>15000</v>
      </c>
      <c r="J26" s="428">
        <f>+H26+I26</f>
        <v>110000</v>
      </c>
      <c r="K26" s="14"/>
    </row>
    <row r="27" spans="1:11" ht="15.75">
      <c r="A27" s="407">
        <v>18</v>
      </c>
      <c r="B27" s="432" t="s">
        <v>20</v>
      </c>
      <c r="C27" s="412" t="s">
        <v>8</v>
      </c>
      <c r="D27" s="413">
        <v>55000</v>
      </c>
      <c r="E27" s="413">
        <v>7000</v>
      </c>
      <c r="F27" s="413"/>
      <c r="G27" s="415">
        <v>0</v>
      </c>
      <c r="H27" s="431">
        <f>SUM(D27:G27)</f>
        <v>62000</v>
      </c>
      <c r="I27" s="413">
        <v>2000</v>
      </c>
      <c r="J27" s="428">
        <f>+H27+I27</f>
        <v>64000</v>
      </c>
      <c r="K27" s="14"/>
    </row>
    <row r="28" spans="1:11" ht="15.75">
      <c r="A28" s="407">
        <v>19</v>
      </c>
      <c r="B28" s="432"/>
      <c r="C28" s="412"/>
      <c r="D28" s="413"/>
      <c r="E28" s="413"/>
      <c r="F28" s="413"/>
      <c r="G28" s="415"/>
      <c r="H28" s="415"/>
      <c r="I28" s="413"/>
      <c r="J28" s="413"/>
      <c r="K28" s="14"/>
    </row>
    <row r="29" spans="1:11" ht="16.5" thickBot="1">
      <c r="A29" s="407">
        <v>20</v>
      </c>
      <c r="B29" s="433" t="s">
        <v>282</v>
      </c>
      <c r="C29" s="392"/>
      <c r="D29" s="434">
        <f>SUM(D23:D27)</f>
        <v>28650318</v>
      </c>
      <c r="E29" s="434">
        <f>SUM(E23:E27)</f>
        <v>8976872</v>
      </c>
      <c r="F29" s="434">
        <f>SUM(F23:F27)</f>
        <v>314460.5</v>
      </c>
      <c r="G29" s="434">
        <f>SUM(G23:G27)</f>
        <v>304620</v>
      </c>
      <c r="H29" s="434">
        <f>SUM(D29:G29)</f>
        <v>38246270.5</v>
      </c>
      <c r="I29" s="434">
        <f>SUM(I23:I27)</f>
        <v>16941715</v>
      </c>
      <c r="J29" s="434">
        <f>+H29+I29</f>
        <v>55187985.5</v>
      </c>
      <c r="K29" s="14"/>
    </row>
    <row r="30" spans="1:11" ht="16.5" thickTop="1">
      <c r="A30" s="407">
        <v>21</v>
      </c>
      <c r="B30" s="392"/>
      <c r="C30" s="392"/>
      <c r="D30" s="435"/>
      <c r="E30" s="435"/>
      <c r="F30" s="435"/>
      <c r="G30" s="435"/>
      <c r="H30" s="435"/>
      <c r="I30" s="435"/>
      <c r="J30" s="435"/>
      <c r="K30" s="14"/>
    </row>
    <row r="31" spans="2:11" ht="12.75">
      <c r="B31" s="14"/>
      <c r="C31" s="14"/>
      <c r="D31" s="41"/>
      <c r="E31" s="41"/>
      <c r="F31" s="41"/>
      <c r="G31" s="41"/>
      <c r="H31" s="41"/>
      <c r="I31" s="41"/>
      <c r="J31" s="41"/>
      <c r="K31" s="14"/>
    </row>
    <row r="32" spans="2:11" ht="12.75"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2:11" ht="12.75">
      <c r="B33" s="14"/>
      <c r="C33" s="14"/>
      <c r="D33" s="14"/>
      <c r="E33" s="14"/>
      <c r="F33" s="14"/>
      <c r="G33" s="14"/>
      <c r="H33" s="14"/>
      <c r="I33" s="14"/>
      <c r="J33" s="14"/>
      <c r="K33" s="14"/>
    </row>
  </sheetData>
  <sheetProtection/>
  <printOptions horizontalCentered="1" verticalCentered="1"/>
  <pageMargins left="0.5" right="0.5" top="0.5" bottom="0.5" header="0.3" footer="0.3"/>
  <pageSetup horizontalDpi="600" verticalDpi="600" orientation="landscape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xSplit="2" ySplit="8" topLeftCell="C9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D23" sqref="D23"/>
    </sheetView>
  </sheetViews>
  <sheetFormatPr defaultColWidth="9.140625" defaultRowHeight="12.75"/>
  <cols>
    <col min="1" max="1" width="37.28125" style="0" customWidth="1"/>
    <col min="2" max="2" width="11.7109375" style="0" bestFit="1" customWidth="1"/>
    <col min="3" max="3" width="15.57421875" style="0" bestFit="1" customWidth="1"/>
    <col min="4" max="6" width="14.7109375" style="0" customWidth="1"/>
    <col min="7" max="7" width="15.00390625" style="0" bestFit="1" customWidth="1"/>
    <col min="8" max="8" width="13.421875" style="0" bestFit="1" customWidth="1"/>
    <col min="9" max="9" width="12.00390625" style="0" customWidth="1"/>
  </cols>
  <sheetData>
    <row r="1" spans="1:8" ht="12.75">
      <c r="A1" s="15"/>
      <c r="B1" s="14"/>
      <c r="C1" s="14"/>
      <c r="D1" s="14"/>
      <c r="E1" s="14"/>
      <c r="F1" s="14"/>
      <c r="G1" s="14"/>
      <c r="H1" s="14"/>
    </row>
    <row r="2" spans="1:8" ht="12.75">
      <c r="A2" s="39">
        <v>40513</v>
      </c>
      <c r="B2" s="13"/>
      <c r="C2" s="13"/>
      <c r="D2" s="13"/>
      <c r="E2" s="13"/>
      <c r="F2" s="13"/>
      <c r="G2" s="13"/>
      <c r="H2" s="13"/>
    </row>
    <row r="3" spans="1:8" ht="12.75">
      <c r="A3" s="16" t="s">
        <v>0</v>
      </c>
      <c r="B3" s="13"/>
      <c r="C3" s="13"/>
      <c r="D3" s="13"/>
      <c r="E3" s="13"/>
      <c r="F3" s="13"/>
      <c r="G3" s="13"/>
      <c r="H3" s="13"/>
    </row>
    <row r="4" spans="1:8" ht="12.75">
      <c r="A4" s="16" t="s">
        <v>1</v>
      </c>
      <c r="B4" s="13"/>
      <c r="C4" s="13"/>
      <c r="D4" s="13"/>
      <c r="E4" s="13"/>
      <c r="F4" s="13"/>
      <c r="G4" s="13"/>
      <c r="H4" s="13"/>
    </row>
    <row r="5" spans="1:8" ht="12.75">
      <c r="A5" s="16" t="s">
        <v>266</v>
      </c>
      <c r="B5" s="13"/>
      <c r="C5" s="13"/>
      <c r="D5" s="13"/>
      <c r="E5" s="13"/>
      <c r="F5" s="13"/>
      <c r="G5" s="13"/>
      <c r="H5" s="13"/>
    </row>
    <row r="6" spans="1:8" ht="13.5" thickBot="1">
      <c r="A6" s="17" t="s">
        <v>267</v>
      </c>
      <c r="B6" s="18"/>
      <c r="C6" s="18"/>
      <c r="D6" s="18"/>
      <c r="E6" s="18"/>
      <c r="F6" s="18"/>
      <c r="G6" s="18"/>
      <c r="H6" s="18"/>
    </row>
    <row r="7" spans="1:8" ht="13.5" thickTop="1">
      <c r="A7" s="14"/>
      <c r="B7" s="14"/>
      <c r="C7" s="11" t="s">
        <v>2</v>
      </c>
      <c r="D7" s="11" t="s">
        <v>3</v>
      </c>
      <c r="E7" s="11" t="s">
        <v>7</v>
      </c>
      <c r="F7" s="11" t="s">
        <v>4</v>
      </c>
      <c r="G7" s="11" t="s">
        <v>4</v>
      </c>
      <c r="H7" s="11" t="s">
        <v>6</v>
      </c>
    </row>
    <row r="8" spans="1:8" ht="13.5" thickBot="1">
      <c r="A8" s="19"/>
      <c r="B8" s="19"/>
      <c r="C8" s="20"/>
      <c r="D8" s="20"/>
      <c r="E8" s="20"/>
      <c r="F8" s="21"/>
      <c r="G8" s="21"/>
      <c r="H8" s="22"/>
    </row>
    <row r="9" spans="1:8" ht="13.5" thickTop="1">
      <c r="A9" s="23"/>
      <c r="B9" s="23"/>
      <c r="C9" s="24" t="s">
        <v>13</v>
      </c>
      <c r="D9" s="24" t="s">
        <v>14</v>
      </c>
      <c r="E9" s="24" t="s">
        <v>12</v>
      </c>
      <c r="F9" s="24" t="s">
        <v>9</v>
      </c>
      <c r="G9" s="24" t="s">
        <v>10</v>
      </c>
      <c r="H9" s="25"/>
    </row>
    <row r="10" spans="1:8" ht="12.75">
      <c r="A10" s="4" t="s">
        <v>251</v>
      </c>
      <c r="B10" s="40" t="s">
        <v>12</v>
      </c>
      <c r="C10" s="27">
        <v>2319559000</v>
      </c>
      <c r="D10" s="27">
        <v>1378923000</v>
      </c>
      <c r="E10" s="27">
        <v>427038763</v>
      </c>
      <c r="F10" s="27">
        <v>57000000</v>
      </c>
      <c r="G10" s="27">
        <v>55300000</v>
      </c>
      <c r="H10" s="28"/>
    </row>
    <row r="11" spans="1:8" ht="12.75">
      <c r="A11" s="31"/>
      <c r="B11" s="14"/>
      <c r="C11" s="29"/>
      <c r="D11" s="29"/>
      <c r="E11" s="29"/>
      <c r="F11" s="10"/>
      <c r="G11" s="10"/>
      <c r="H11" s="28"/>
    </row>
    <row r="12" spans="1:8" ht="12.75">
      <c r="A12" s="4" t="s">
        <v>79</v>
      </c>
      <c r="B12" s="31" t="s">
        <v>12</v>
      </c>
      <c r="C12" s="30">
        <v>0.9541195222885039</v>
      </c>
      <c r="D12" s="30">
        <v>0.9672944087523379</v>
      </c>
      <c r="E12" s="30">
        <v>0.0657721978273902</v>
      </c>
      <c r="F12" s="30"/>
      <c r="G12" s="30"/>
      <c r="H12" s="28"/>
    </row>
    <row r="13" spans="1:8" ht="12.75">
      <c r="A13" s="14"/>
      <c r="B13" s="14"/>
      <c r="C13" s="25"/>
      <c r="D13" s="25"/>
      <c r="E13" s="25"/>
      <c r="F13" s="25"/>
      <c r="G13" s="28"/>
      <c r="H13" s="28"/>
    </row>
    <row r="14" spans="1:8" ht="12.75">
      <c r="A14" s="4" t="s">
        <v>16</v>
      </c>
      <c r="B14" s="31"/>
      <c r="C14" s="27">
        <f>ROUND(C10*C12,0)</f>
        <v>2213136525</v>
      </c>
      <c r="D14" s="27">
        <f>ROUND(D10*D12,0)</f>
        <v>1333824508</v>
      </c>
      <c r="E14" s="27">
        <f>ROUND(E10*E12,0)</f>
        <v>28087278</v>
      </c>
      <c r="F14" s="27">
        <f>+F10</f>
        <v>57000000</v>
      </c>
      <c r="G14" s="27">
        <f>+G10</f>
        <v>55300000</v>
      </c>
      <c r="H14" s="28"/>
    </row>
    <row r="15" spans="1:8" ht="12.75">
      <c r="A15" s="14"/>
      <c r="B15" s="14"/>
      <c r="C15" s="25"/>
      <c r="D15" s="25"/>
      <c r="E15" s="25"/>
      <c r="F15" s="25"/>
      <c r="G15" s="28"/>
      <c r="H15" s="28"/>
    </row>
    <row r="16" spans="1:8" ht="12.75">
      <c r="A16" s="14" t="s">
        <v>80</v>
      </c>
      <c r="B16" s="31" t="s">
        <v>8</v>
      </c>
      <c r="C16" s="32">
        <v>10.51</v>
      </c>
      <c r="D16" s="32">
        <v>10.61</v>
      </c>
      <c r="E16" s="32">
        <v>304.948</v>
      </c>
      <c r="F16" s="32">
        <v>11.62</v>
      </c>
      <c r="G16" s="32">
        <v>11.3722</v>
      </c>
      <c r="H16" s="28"/>
    </row>
    <row r="17" spans="1:8" ht="12.75">
      <c r="A17" s="14"/>
      <c r="B17" s="14"/>
      <c r="C17" s="25"/>
      <c r="D17" s="25"/>
      <c r="E17" s="25"/>
      <c r="F17" s="12" t="s">
        <v>11</v>
      </c>
      <c r="G17" s="12" t="s">
        <v>11</v>
      </c>
      <c r="H17" s="28"/>
    </row>
    <row r="18" spans="1:8" ht="12.75">
      <c r="A18" s="4" t="s">
        <v>18</v>
      </c>
      <c r="B18" s="14"/>
      <c r="C18" s="288">
        <f>ROUND(C14*C16/1000,0)</f>
        <v>23260065</v>
      </c>
      <c r="D18" s="288">
        <f>ROUND(D14*D16/1000,0)</f>
        <v>14151878</v>
      </c>
      <c r="E18" s="288">
        <f>ROUND(E14*E16/1000,0)+7</f>
        <v>8565166</v>
      </c>
      <c r="F18" s="288">
        <f>ROUND(F14*F16/1000,0)/2+19</f>
        <v>331189</v>
      </c>
      <c r="G18" s="288">
        <f>ROUND(G14*G16/1000,0)/2</f>
        <v>314441.5</v>
      </c>
      <c r="H18" s="28"/>
    </row>
    <row r="19" spans="1:8" ht="12.75">
      <c r="A19" s="14"/>
      <c r="B19" s="14"/>
      <c r="C19" s="27"/>
      <c r="D19" s="27"/>
      <c r="E19" s="27"/>
      <c r="F19" s="27"/>
      <c r="G19" s="27"/>
      <c r="H19" s="28"/>
    </row>
    <row r="20" spans="1:8" ht="12.75">
      <c r="A20" s="4" t="s">
        <v>21</v>
      </c>
      <c r="B20" s="14"/>
      <c r="C20" s="27">
        <v>225000</v>
      </c>
      <c r="D20" s="27">
        <v>40000</v>
      </c>
      <c r="E20" s="27">
        <v>0</v>
      </c>
      <c r="F20" s="27"/>
      <c r="G20" s="28">
        <v>0</v>
      </c>
      <c r="H20" s="28"/>
    </row>
    <row r="21" spans="1:8" ht="12.75">
      <c r="A21" s="4" t="s">
        <v>78</v>
      </c>
      <c r="B21" s="14"/>
      <c r="C21" s="27">
        <v>90000</v>
      </c>
      <c r="D21" s="27">
        <v>0</v>
      </c>
      <c r="E21" s="27">
        <v>0</v>
      </c>
      <c r="F21" s="27"/>
      <c r="G21" s="28">
        <v>0</v>
      </c>
      <c r="H21" s="28"/>
    </row>
    <row r="22" spans="1:10" ht="12.75">
      <c r="A22" s="45" t="s">
        <v>20</v>
      </c>
      <c r="B22" s="26"/>
      <c r="C22" s="27">
        <v>50000</v>
      </c>
      <c r="D22" s="27">
        <v>0</v>
      </c>
      <c r="E22" s="27">
        <v>5600</v>
      </c>
      <c r="F22" s="27"/>
      <c r="G22" s="28"/>
      <c r="H22" s="28"/>
      <c r="J22" s="38"/>
    </row>
    <row r="23" spans="1:10" ht="13.5" thickBot="1">
      <c r="A23" s="42" t="s">
        <v>81</v>
      </c>
      <c r="B23" s="41"/>
      <c r="C23" s="34">
        <f>SUM(C18:C22)</f>
        <v>23625065</v>
      </c>
      <c r="D23" s="34">
        <f>SUM(D18:D22)</f>
        <v>14191878</v>
      </c>
      <c r="E23" s="34">
        <f>SUM(E18:E22)</f>
        <v>8570766</v>
      </c>
      <c r="F23" s="34">
        <f>SUM(F18:F22)</f>
        <v>331189</v>
      </c>
      <c r="G23" s="34">
        <f>SUM(G18:G22)</f>
        <v>314441.5</v>
      </c>
      <c r="H23" s="35">
        <f>SUM(C23:G23)</f>
        <v>47033339.5</v>
      </c>
      <c r="I23" s="290"/>
      <c r="J23" s="38"/>
    </row>
    <row r="24" spans="1:10" ht="13.5" thickTop="1">
      <c r="A24" s="14"/>
      <c r="B24" s="14"/>
      <c r="C24" s="27"/>
      <c r="D24" s="27"/>
      <c r="E24" s="27"/>
      <c r="F24" s="28"/>
      <c r="G24" s="28"/>
      <c r="H24" s="28"/>
      <c r="I24" s="289"/>
      <c r="J24" s="38"/>
    </row>
    <row r="25" spans="1:9" ht="12.75">
      <c r="A25" s="42"/>
      <c r="B25" s="14"/>
      <c r="C25" s="28"/>
      <c r="D25" s="28"/>
      <c r="E25" s="28"/>
      <c r="F25" s="28"/>
      <c r="G25" s="28"/>
      <c r="H25" s="28"/>
      <c r="I25" s="36"/>
    </row>
    <row r="26" spans="1:8" ht="12.75">
      <c r="A26" s="14"/>
      <c r="B26" s="14"/>
      <c r="C26" s="14"/>
      <c r="F26" s="14"/>
      <c r="G26" s="14"/>
      <c r="H26" s="14"/>
    </row>
    <row r="27" spans="1:8" ht="12.75">
      <c r="A27" s="15"/>
      <c r="B27" s="14"/>
      <c r="C27" s="43"/>
      <c r="F27" s="14"/>
      <c r="G27" s="14"/>
      <c r="H27" s="14"/>
    </row>
    <row r="28" spans="1:8" ht="12.75">
      <c r="A28" s="14"/>
      <c r="B28" s="14"/>
      <c r="C28" s="43"/>
      <c r="D28" s="33"/>
      <c r="E28" s="14"/>
      <c r="F28" s="14"/>
      <c r="G28" s="14"/>
      <c r="H28" s="14"/>
    </row>
    <row r="29" spans="3:5" ht="12.75">
      <c r="C29" s="37"/>
      <c r="D29" s="44"/>
      <c r="E29" s="14"/>
    </row>
    <row r="30" spans="3:5" ht="12.75">
      <c r="C30" s="37"/>
      <c r="D30" s="14"/>
      <c r="E30" s="14"/>
    </row>
    <row r="31" ht="12.75">
      <c r="C31" s="38"/>
    </row>
  </sheetData>
  <sheetProtection/>
  <printOptions/>
  <pageMargins left="0.62" right="0" top="0.61" bottom="0" header="0.3" footer="0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4" width="15.140625" style="0" customWidth="1"/>
  </cols>
  <sheetData>
    <row r="1" spans="1:4" ht="12.75">
      <c r="A1" s="58" t="s">
        <v>84</v>
      </c>
      <c r="B1" s="58"/>
      <c r="C1" s="58"/>
      <c r="D1" s="58"/>
    </row>
    <row r="2" spans="1:4" ht="12.75">
      <c r="A2" s="59" t="s">
        <v>85</v>
      </c>
      <c r="B2" s="58"/>
      <c r="C2" s="58"/>
      <c r="D2" s="58"/>
    </row>
    <row r="3" spans="1:4" ht="12.75">
      <c r="A3" s="59">
        <v>40543</v>
      </c>
      <c r="B3" s="58"/>
      <c r="C3" s="58"/>
      <c r="D3" s="58"/>
    </row>
    <row r="4" spans="1:4" ht="13.5" thickBot="1">
      <c r="A4" s="60"/>
      <c r="B4" s="60"/>
      <c r="C4" s="60"/>
      <c r="D4" s="60"/>
    </row>
    <row r="5" spans="2:4" ht="13.5" thickTop="1">
      <c r="B5" s="1" t="s">
        <v>86</v>
      </c>
      <c r="C5" s="1" t="s">
        <v>87</v>
      </c>
      <c r="D5" s="1" t="s">
        <v>7</v>
      </c>
    </row>
    <row r="6" spans="1:4" ht="13.5" thickBot="1">
      <c r="A6" s="60"/>
      <c r="B6" s="61"/>
      <c r="C6" s="61"/>
      <c r="D6" s="61"/>
    </row>
    <row r="7" ht="13.5" thickTop="1"/>
    <row r="8" spans="1:6" ht="12.75">
      <c r="A8" s="1" t="s">
        <v>88</v>
      </c>
      <c r="B8" s="62">
        <v>8903.34</v>
      </c>
      <c r="C8" s="63">
        <v>0</v>
      </c>
      <c r="D8" s="63">
        <v>440</v>
      </c>
      <c r="E8" s="63"/>
      <c r="F8" s="63"/>
    </row>
    <row r="9" spans="1:6" ht="12.75">
      <c r="A9" s="1" t="s">
        <v>89</v>
      </c>
      <c r="B9" s="62">
        <v>7662.23</v>
      </c>
      <c r="C9" s="63">
        <v>0</v>
      </c>
      <c r="D9" s="63">
        <v>584</v>
      </c>
      <c r="E9" s="63"/>
      <c r="F9" s="63"/>
    </row>
    <row r="10" spans="1:6" ht="12.75">
      <c r="A10" s="1" t="s">
        <v>90</v>
      </c>
      <c r="B10" s="62">
        <v>16683.85</v>
      </c>
      <c r="C10" s="63">
        <v>0</v>
      </c>
      <c r="D10" s="63">
        <v>468</v>
      </c>
      <c r="E10" s="63"/>
      <c r="F10" s="63"/>
    </row>
    <row r="11" spans="1:6" ht="12.75">
      <c r="A11" s="1" t="s">
        <v>91</v>
      </c>
      <c r="B11" s="62">
        <v>13054.19</v>
      </c>
      <c r="C11" s="63">
        <v>21.13</v>
      </c>
      <c r="D11" s="63">
        <v>438</v>
      </c>
      <c r="E11" s="63"/>
      <c r="F11" s="63"/>
    </row>
    <row r="12" spans="1:6" ht="12.75">
      <c r="A12" s="1" t="s">
        <v>92</v>
      </c>
      <c r="B12" s="62">
        <v>415.38</v>
      </c>
      <c r="C12" s="63">
        <v>0</v>
      </c>
      <c r="D12" s="63">
        <v>460</v>
      </c>
      <c r="E12" s="63"/>
      <c r="F12" s="63"/>
    </row>
    <row r="13" spans="1:6" ht="12.75">
      <c r="A13" s="1" t="s">
        <v>93</v>
      </c>
      <c r="B13" s="62">
        <v>168.75</v>
      </c>
      <c r="C13" s="63">
        <v>21.13</v>
      </c>
      <c r="D13" s="63">
        <v>456</v>
      </c>
      <c r="E13" s="63"/>
      <c r="F13" s="63"/>
    </row>
    <row r="14" spans="1:6" ht="12.75">
      <c r="A14" s="1" t="s">
        <v>94</v>
      </c>
      <c r="B14" s="62">
        <v>8238.14</v>
      </c>
      <c r="C14" s="63">
        <v>11.53</v>
      </c>
      <c r="D14" s="63">
        <v>460</v>
      </c>
      <c r="E14" s="63"/>
      <c r="F14" s="63"/>
    </row>
    <row r="15" spans="1:6" ht="12.75">
      <c r="A15" s="1" t="s">
        <v>95</v>
      </c>
      <c r="B15" s="62">
        <v>4461.76</v>
      </c>
      <c r="C15" s="63">
        <v>319.69</v>
      </c>
      <c r="D15" s="63">
        <v>456</v>
      </c>
      <c r="E15" s="63"/>
      <c r="F15" s="63"/>
    </row>
    <row r="16" spans="1:6" ht="12.75">
      <c r="A16" s="1" t="s">
        <v>96</v>
      </c>
      <c r="B16" s="62">
        <v>490.5</v>
      </c>
      <c r="C16" s="63">
        <v>134.76</v>
      </c>
      <c r="D16" s="63">
        <v>456</v>
      </c>
      <c r="E16" s="63"/>
      <c r="F16" s="63"/>
    </row>
    <row r="17" spans="1:6" ht="12.75">
      <c r="A17" s="1" t="s">
        <v>97</v>
      </c>
      <c r="B17" s="62">
        <v>24359.84</v>
      </c>
      <c r="C17" s="63">
        <v>248.54</v>
      </c>
      <c r="D17" s="63">
        <v>502</v>
      </c>
      <c r="E17" s="63"/>
      <c r="F17" s="63"/>
    </row>
    <row r="18" spans="1:6" ht="12.75">
      <c r="A18" s="1" t="s">
        <v>98</v>
      </c>
      <c r="B18" s="62">
        <v>523.75</v>
      </c>
      <c r="C18" s="63">
        <v>234.86</v>
      </c>
      <c r="D18" s="63">
        <v>456</v>
      </c>
      <c r="E18" s="63"/>
      <c r="F18" s="63"/>
    </row>
    <row r="19" spans="1:6" ht="12.75">
      <c r="A19" s="1" t="s">
        <v>99</v>
      </c>
      <c r="B19" s="62">
        <v>168.75</v>
      </c>
      <c r="C19" s="63">
        <v>143.26</v>
      </c>
      <c r="D19" s="63">
        <v>1430</v>
      </c>
      <c r="E19" s="63"/>
      <c r="F19" s="63"/>
    </row>
    <row r="20" spans="2:6" ht="13.5" thickBot="1">
      <c r="B20" s="64">
        <f>SUM(B8:B19)</f>
        <v>85130.48</v>
      </c>
      <c r="C20" s="64">
        <f>SUM(C8:C19)</f>
        <v>1134.9</v>
      </c>
      <c r="D20" s="64">
        <f>SUM(D8:D19)</f>
        <v>6606</v>
      </c>
      <c r="E20" s="63"/>
      <c r="F20" s="63"/>
    </row>
    <row r="21" spans="2:6" ht="13.5" thickTop="1">
      <c r="B21" s="63"/>
      <c r="C21" s="63"/>
      <c r="D21" s="63"/>
      <c r="E21" s="63"/>
      <c r="F21" s="63"/>
    </row>
    <row r="22" spans="2:6" ht="12.75">
      <c r="B22" s="63"/>
      <c r="C22" s="63"/>
      <c r="D22" s="63"/>
      <c r="E22" s="63"/>
      <c r="F22" s="63"/>
    </row>
    <row r="23" spans="2:6" ht="12.75">
      <c r="B23" s="63"/>
      <c r="C23" s="63"/>
      <c r="D23" s="63"/>
      <c r="E23" s="63"/>
      <c r="F23" s="6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pane xSplit="3" ySplit="7" topLeftCell="D3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53" sqref="F53"/>
    </sheetView>
  </sheetViews>
  <sheetFormatPr defaultColWidth="9.140625" defaultRowHeight="12.75"/>
  <cols>
    <col min="1" max="1" width="3.57421875" style="65" customWidth="1"/>
    <col min="2" max="2" width="11.00390625" style="65" customWidth="1"/>
    <col min="3" max="3" width="46.8515625" style="65" bestFit="1" customWidth="1"/>
    <col min="4" max="4" width="18.00390625" style="65" customWidth="1"/>
    <col min="5" max="6" width="17.140625" style="65" customWidth="1"/>
    <col min="7" max="9" width="13.00390625" style="65" customWidth="1"/>
    <col min="10" max="16384" width="9.140625" style="65" customWidth="1"/>
  </cols>
  <sheetData>
    <row r="1" spans="2:12" ht="12.75">
      <c r="B1" s="66" t="s">
        <v>102</v>
      </c>
      <c r="C1" s="67"/>
      <c r="D1" s="68"/>
      <c r="E1" s="69"/>
      <c r="F1" s="69"/>
      <c r="G1" s="69"/>
      <c r="H1" s="69"/>
      <c r="I1" s="69"/>
      <c r="J1" s="69"/>
      <c r="K1" s="69"/>
      <c r="L1" s="69"/>
    </row>
    <row r="2" spans="2:12" ht="12.75">
      <c r="B2" s="66" t="s">
        <v>103</v>
      </c>
      <c r="C2" s="70"/>
      <c r="D2" s="71"/>
      <c r="E2" s="71"/>
      <c r="F2" s="69"/>
      <c r="G2" s="69"/>
      <c r="H2" s="69"/>
      <c r="I2" s="69"/>
      <c r="J2" s="69"/>
      <c r="K2" s="69"/>
      <c r="L2" s="69"/>
    </row>
    <row r="3" spans="2:12" ht="12.75">
      <c r="B3" s="72">
        <v>40543</v>
      </c>
      <c r="C3" s="73"/>
      <c r="D3" s="74"/>
      <c r="E3" s="74"/>
      <c r="F3" s="69"/>
      <c r="G3" s="69"/>
      <c r="H3" s="69"/>
      <c r="I3" s="69"/>
      <c r="J3" s="69"/>
      <c r="K3" s="69"/>
      <c r="L3" s="69"/>
    </row>
    <row r="4" spans="2:12" ht="12.75">
      <c r="B4" s="72"/>
      <c r="C4" s="73"/>
      <c r="D4" s="74"/>
      <c r="E4" s="74"/>
      <c r="F4" s="69"/>
      <c r="G4" s="69"/>
      <c r="H4" s="69"/>
      <c r="I4" s="69"/>
      <c r="J4" s="69"/>
      <c r="K4" s="69"/>
      <c r="L4" s="69"/>
    </row>
    <row r="5" spans="1:12" ht="12.75">
      <c r="A5" s="75" t="s">
        <v>104</v>
      </c>
      <c r="B5" s="76" t="s">
        <v>67</v>
      </c>
      <c r="C5" s="77" t="s">
        <v>68</v>
      </c>
      <c r="D5" s="78" t="s">
        <v>69</v>
      </c>
      <c r="E5" s="77" t="s">
        <v>70</v>
      </c>
      <c r="F5" s="77" t="s">
        <v>71</v>
      </c>
      <c r="G5" s="77" t="s">
        <v>72</v>
      </c>
      <c r="H5" s="77" t="s">
        <v>73</v>
      </c>
      <c r="I5" s="77" t="s">
        <v>74</v>
      </c>
      <c r="J5" s="69"/>
      <c r="K5" s="69"/>
      <c r="L5" s="69"/>
    </row>
    <row r="6" spans="2:12" ht="12.75">
      <c r="B6" s="66"/>
      <c r="C6" s="316"/>
      <c r="D6" s="74" t="s">
        <v>271</v>
      </c>
      <c r="E6" s="80" t="s">
        <v>280</v>
      </c>
      <c r="F6" s="81" t="s">
        <v>105</v>
      </c>
      <c r="G6" s="69"/>
      <c r="H6" s="69"/>
      <c r="I6" s="69"/>
      <c r="J6" s="69"/>
      <c r="K6" s="69"/>
      <c r="L6" s="69"/>
    </row>
    <row r="7" spans="1:12" ht="12.75">
      <c r="A7" s="65" t="s">
        <v>106</v>
      </c>
      <c r="B7" s="102" t="s">
        <v>107</v>
      </c>
      <c r="C7" s="103" t="s">
        <v>108</v>
      </c>
      <c r="D7" s="317">
        <v>40178</v>
      </c>
      <c r="E7" s="317">
        <v>40543</v>
      </c>
      <c r="F7" s="82" t="s">
        <v>109</v>
      </c>
      <c r="G7" s="83" t="s">
        <v>110</v>
      </c>
      <c r="H7" s="83" t="s">
        <v>101</v>
      </c>
      <c r="I7" s="83" t="s">
        <v>111</v>
      </c>
      <c r="J7" s="69"/>
      <c r="K7" s="69"/>
      <c r="L7" s="69"/>
    </row>
    <row r="8" spans="1:12" ht="12.75">
      <c r="A8" s="84">
        <v>1</v>
      </c>
      <c r="B8" s="318">
        <v>10100501</v>
      </c>
      <c r="C8" s="4" t="s">
        <v>112</v>
      </c>
      <c r="D8" s="319">
        <v>6272094465.43</v>
      </c>
      <c r="E8" s="319">
        <v>6744294015.4</v>
      </c>
      <c r="F8" s="85">
        <f>E8-D8</f>
        <v>472199549.9699993</v>
      </c>
      <c r="G8" s="86">
        <f>+F8</f>
        <v>472199549.9699993</v>
      </c>
      <c r="H8" s="86"/>
      <c r="I8" s="86"/>
      <c r="J8" s="87"/>
      <c r="K8" s="87"/>
      <c r="L8" s="87"/>
    </row>
    <row r="9" spans="1:12" ht="12.75">
      <c r="A9" s="84">
        <v>2</v>
      </c>
      <c r="B9" s="318">
        <v>10100502</v>
      </c>
      <c r="C9" s="4" t="s">
        <v>113</v>
      </c>
      <c r="D9" s="319">
        <v>2548479919.25</v>
      </c>
      <c r="E9" s="319">
        <v>2671376897.04</v>
      </c>
      <c r="F9" s="85">
        <f aca="true" t="shared" si="0" ref="F9:F52">E9-D9</f>
        <v>122896977.78999996</v>
      </c>
      <c r="G9" s="86"/>
      <c r="H9" s="86">
        <f>+F9</f>
        <v>122896977.78999996</v>
      </c>
      <c r="I9" s="86"/>
      <c r="J9" s="87"/>
      <c r="K9" s="87"/>
      <c r="L9" s="87"/>
    </row>
    <row r="10" spans="1:12" ht="12.75">
      <c r="A10" s="84">
        <v>3</v>
      </c>
      <c r="B10" s="318">
        <v>10100503</v>
      </c>
      <c r="C10" s="4" t="s">
        <v>114</v>
      </c>
      <c r="D10" s="319">
        <v>489208015.57</v>
      </c>
      <c r="E10" s="319">
        <v>378255131.1</v>
      </c>
      <c r="F10" s="85">
        <f t="shared" si="0"/>
        <v>-110952884.46999997</v>
      </c>
      <c r="G10" s="86"/>
      <c r="H10" s="86"/>
      <c r="I10" s="86">
        <f>+F10</f>
        <v>-110952884.46999997</v>
      </c>
      <c r="J10" s="87"/>
      <c r="K10" s="87"/>
      <c r="L10" s="87"/>
    </row>
    <row r="11" spans="1:12" ht="12.75">
      <c r="A11" s="84">
        <v>4</v>
      </c>
      <c r="B11" s="320" t="s">
        <v>160</v>
      </c>
      <c r="C11" s="4" t="s">
        <v>161</v>
      </c>
      <c r="D11" s="319">
        <v>12178401.06</v>
      </c>
      <c r="E11" s="319">
        <v>0</v>
      </c>
      <c r="F11" s="85">
        <f t="shared" si="0"/>
        <v>-12178401.06</v>
      </c>
      <c r="H11" s="88"/>
      <c r="I11" s="86">
        <f>+F11</f>
        <v>-12178401.06</v>
      </c>
      <c r="J11" s="87"/>
      <c r="K11" s="87"/>
      <c r="L11" s="87"/>
    </row>
    <row r="12" spans="1:12" ht="12.75">
      <c r="A12" s="84">
        <v>5</v>
      </c>
      <c r="B12" s="320" t="s">
        <v>115</v>
      </c>
      <c r="C12" s="4" t="s">
        <v>116</v>
      </c>
      <c r="D12" s="319">
        <v>42391269.6</v>
      </c>
      <c r="E12" s="319">
        <v>0</v>
      </c>
      <c r="F12" s="85">
        <f t="shared" si="0"/>
        <v>-42391269.6</v>
      </c>
      <c r="G12" s="86">
        <f>+F12</f>
        <v>-42391269.6</v>
      </c>
      <c r="H12" s="88"/>
      <c r="I12" s="88"/>
      <c r="J12" s="87"/>
      <c r="K12" s="87"/>
      <c r="L12" s="87"/>
    </row>
    <row r="13" spans="1:12" ht="12.75">
      <c r="A13" s="84">
        <v>6</v>
      </c>
      <c r="B13" s="320" t="s">
        <v>117</v>
      </c>
      <c r="C13" s="4" t="s">
        <v>118</v>
      </c>
      <c r="D13" s="319">
        <v>826434</v>
      </c>
      <c r="E13" s="319">
        <v>0</v>
      </c>
      <c r="F13" s="85">
        <f t="shared" si="0"/>
        <v>-826434</v>
      </c>
      <c r="G13" s="86">
        <f>+F13</f>
        <v>-826434</v>
      </c>
      <c r="H13" s="88"/>
      <c r="I13" s="88"/>
      <c r="J13" s="87"/>
      <c r="K13" s="87"/>
      <c r="L13" s="87"/>
    </row>
    <row r="14" spans="1:12" ht="12.75">
      <c r="A14" s="84">
        <v>7</v>
      </c>
      <c r="B14" s="318">
        <v>10500501</v>
      </c>
      <c r="C14" s="4" t="s">
        <v>119</v>
      </c>
      <c r="D14" s="319">
        <v>25955940.98</v>
      </c>
      <c r="E14" s="319">
        <v>29445701.5</v>
      </c>
      <c r="F14" s="85">
        <f t="shared" si="0"/>
        <v>3489760.5199999996</v>
      </c>
      <c r="G14" s="86">
        <f>+F14</f>
        <v>3489760.5199999996</v>
      </c>
      <c r="H14" s="88"/>
      <c r="I14" s="88"/>
      <c r="J14" s="87"/>
      <c r="K14" s="87"/>
      <c r="L14" s="87"/>
    </row>
    <row r="15" spans="1:12" ht="12.75">
      <c r="A15" s="84">
        <v>8</v>
      </c>
      <c r="B15" s="318">
        <v>10500502</v>
      </c>
      <c r="C15" s="4" t="s">
        <v>120</v>
      </c>
      <c r="D15" s="319">
        <v>12575727.53</v>
      </c>
      <c r="E15" s="319">
        <v>24652060.08</v>
      </c>
      <c r="F15" s="85">
        <f t="shared" si="0"/>
        <v>12076332.549999999</v>
      </c>
      <c r="G15" s="88"/>
      <c r="H15" s="86">
        <f>+F15</f>
        <v>12076332.549999999</v>
      </c>
      <c r="I15" s="88"/>
      <c r="J15" s="87"/>
      <c r="K15" s="87"/>
      <c r="L15" s="87"/>
    </row>
    <row r="16" spans="1:12" ht="12.75">
      <c r="A16" s="84">
        <v>9</v>
      </c>
      <c r="B16" s="318">
        <v>10600501</v>
      </c>
      <c r="C16" s="4" t="s">
        <v>121</v>
      </c>
      <c r="D16" s="319">
        <v>169044845.19</v>
      </c>
      <c r="E16" s="319">
        <v>31282091.16</v>
      </c>
      <c r="F16" s="85">
        <f t="shared" si="0"/>
        <v>-137762754.03</v>
      </c>
      <c r="G16" s="86">
        <f>+F16</f>
        <v>-137762754.03</v>
      </c>
      <c r="H16" s="88"/>
      <c r="I16" s="88"/>
      <c r="J16" s="87"/>
      <c r="K16" s="87"/>
      <c r="L16" s="87"/>
    </row>
    <row r="17" spans="1:12" ht="12.75">
      <c r="A17" s="84">
        <v>10</v>
      </c>
      <c r="B17" s="318">
        <v>10600502</v>
      </c>
      <c r="C17" s="4" t="s">
        <v>122</v>
      </c>
      <c r="D17" s="319">
        <v>31968524.39</v>
      </c>
      <c r="E17" s="319">
        <v>19229011.52</v>
      </c>
      <c r="F17" s="85">
        <f t="shared" si="0"/>
        <v>-12739512.870000001</v>
      </c>
      <c r="G17" s="88"/>
      <c r="H17" s="86">
        <f>+F17</f>
        <v>-12739512.870000001</v>
      </c>
      <c r="I17" s="88"/>
      <c r="J17" s="87"/>
      <c r="K17" s="87"/>
      <c r="L17" s="87"/>
    </row>
    <row r="18" spans="1:12" ht="12.75">
      <c r="A18" s="84">
        <v>11</v>
      </c>
      <c r="B18" s="318" t="s">
        <v>123</v>
      </c>
      <c r="C18" s="4" t="s">
        <v>124</v>
      </c>
      <c r="D18" s="319">
        <v>0</v>
      </c>
      <c r="E18" s="319">
        <v>8311051.58</v>
      </c>
      <c r="F18" s="85">
        <f t="shared" si="0"/>
        <v>8311051.58</v>
      </c>
      <c r="G18" s="88"/>
      <c r="H18" s="88"/>
      <c r="I18" s="86">
        <f>+F18</f>
        <v>8311051.58</v>
      </c>
      <c r="J18" s="87"/>
      <c r="K18" s="87"/>
      <c r="L18" s="87"/>
    </row>
    <row r="19" spans="1:12" ht="12.75">
      <c r="A19" s="84">
        <v>12</v>
      </c>
      <c r="B19" s="320">
        <v>10700013</v>
      </c>
      <c r="C19" s="4" t="s">
        <v>125</v>
      </c>
      <c r="D19" s="319">
        <v>595771.03</v>
      </c>
      <c r="E19" s="319">
        <v>-3417845.6</v>
      </c>
      <c r="F19" s="85">
        <f t="shared" si="0"/>
        <v>-4013616.63</v>
      </c>
      <c r="G19" s="88"/>
      <c r="H19" s="88"/>
      <c r="I19" s="86">
        <f>+F19</f>
        <v>-4013616.63</v>
      </c>
      <c r="J19" s="87"/>
      <c r="K19" s="87"/>
      <c r="L19" s="87"/>
    </row>
    <row r="20" spans="1:12" ht="12.75">
      <c r="A20" s="84">
        <v>13</v>
      </c>
      <c r="B20" s="320">
        <v>10700021</v>
      </c>
      <c r="C20" s="4" t="s">
        <v>126</v>
      </c>
      <c r="D20" s="319">
        <v>67401.85</v>
      </c>
      <c r="E20" s="319">
        <v>0</v>
      </c>
      <c r="F20" s="85">
        <f t="shared" si="0"/>
        <v>-67401.85</v>
      </c>
      <c r="G20" s="86">
        <f>+F20</f>
        <v>-67401.85</v>
      </c>
      <c r="H20" s="88"/>
      <c r="I20" s="88"/>
      <c r="J20" s="87"/>
      <c r="K20" s="87"/>
      <c r="L20" s="87"/>
    </row>
    <row r="21" spans="1:12" ht="12.75">
      <c r="A21" s="84">
        <v>14</v>
      </c>
      <c r="B21" s="320">
        <v>10700022</v>
      </c>
      <c r="C21" s="4" t="s">
        <v>127</v>
      </c>
      <c r="D21" s="319">
        <v>20164.41</v>
      </c>
      <c r="E21" s="319">
        <v>0</v>
      </c>
      <c r="F21" s="85">
        <f t="shared" si="0"/>
        <v>-20164.41</v>
      </c>
      <c r="G21" s="88"/>
      <c r="H21" s="86">
        <f>+F21</f>
        <v>-20164.41</v>
      </c>
      <c r="I21" s="88"/>
      <c r="J21" s="87"/>
      <c r="K21" s="87"/>
      <c r="L21" s="87"/>
    </row>
    <row r="22" spans="1:12" ht="12.75">
      <c r="A22" s="84">
        <v>15</v>
      </c>
      <c r="B22" s="320" t="s">
        <v>272</v>
      </c>
      <c r="C22" s="4" t="s">
        <v>273</v>
      </c>
      <c r="D22" s="319"/>
      <c r="E22" s="319">
        <v>-393750</v>
      </c>
      <c r="F22" s="85">
        <f t="shared" si="0"/>
        <v>-393750</v>
      </c>
      <c r="H22" s="88"/>
      <c r="I22" s="86">
        <f>+F22</f>
        <v>-393750</v>
      </c>
      <c r="J22" s="87"/>
      <c r="K22" s="87"/>
      <c r="L22" s="87"/>
    </row>
    <row r="23" spans="1:12" ht="12.75">
      <c r="A23" s="84">
        <v>16</v>
      </c>
      <c r="B23" s="320" t="s">
        <v>274</v>
      </c>
      <c r="C23" s="4" t="s">
        <v>275</v>
      </c>
      <c r="D23" s="319"/>
      <c r="E23" s="319">
        <v>-1562463</v>
      </c>
      <c r="F23" s="85">
        <f t="shared" si="0"/>
        <v>-1562463</v>
      </c>
      <c r="G23" s="86">
        <f>+F23</f>
        <v>-1562463</v>
      </c>
      <c r="I23" s="88"/>
      <c r="J23" s="87"/>
      <c r="K23" s="87"/>
      <c r="L23" s="87"/>
    </row>
    <row r="24" spans="1:12" ht="12.75">
      <c r="A24" s="84">
        <v>17</v>
      </c>
      <c r="B24" s="320">
        <v>10700041</v>
      </c>
      <c r="C24" s="4" t="s">
        <v>128</v>
      </c>
      <c r="D24" s="319">
        <v>122114.35</v>
      </c>
      <c r="E24" s="319">
        <v>0</v>
      </c>
      <c r="F24" s="85">
        <f t="shared" si="0"/>
        <v>-122114.35</v>
      </c>
      <c r="G24" s="86">
        <f>+F24</f>
        <v>-122114.35</v>
      </c>
      <c r="H24" s="88"/>
      <c r="I24" s="88"/>
      <c r="J24" s="87"/>
      <c r="K24" s="87"/>
      <c r="L24" s="87"/>
    </row>
    <row r="25" spans="1:12" ht="12.75">
      <c r="A25" s="84">
        <v>18</v>
      </c>
      <c r="B25" s="320">
        <v>10700042</v>
      </c>
      <c r="C25" s="4" t="s">
        <v>129</v>
      </c>
      <c r="D25" s="319">
        <v>878804.03</v>
      </c>
      <c r="E25" s="319">
        <v>1189512.24</v>
      </c>
      <c r="F25" s="85">
        <f t="shared" si="0"/>
        <v>310708.20999999996</v>
      </c>
      <c r="G25" s="88"/>
      <c r="H25" s="86">
        <f>+F25</f>
        <v>310708.20999999996</v>
      </c>
      <c r="I25" s="88"/>
      <c r="J25" s="87"/>
      <c r="K25" s="87"/>
      <c r="L25" s="87"/>
    </row>
    <row r="26" spans="1:12" ht="12.75">
      <c r="A26" s="84">
        <v>19</v>
      </c>
      <c r="B26" s="318">
        <v>10700501</v>
      </c>
      <c r="C26" s="4" t="s">
        <v>130</v>
      </c>
      <c r="D26" s="319">
        <v>272004969.16</v>
      </c>
      <c r="E26" s="319">
        <v>559640861.22</v>
      </c>
      <c r="F26" s="85">
        <f t="shared" si="0"/>
        <v>287635892.06</v>
      </c>
      <c r="G26" s="86">
        <f>+F26</f>
        <v>287635892.06</v>
      </c>
      <c r="H26" s="88"/>
      <c r="J26" s="87"/>
      <c r="K26" s="87"/>
      <c r="L26" s="87"/>
    </row>
    <row r="27" spans="1:12" ht="12.75">
      <c r="A27" s="84">
        <v>20</v>
      </c>
      <c r="B27" s="318">
        <v>10700502</v>
      </c>
      <c r="C27" s="4" t="s">
        <v>131</v>
      </c>
      <c r="D27" s="319">
        <v>35550610.57</v>
      </c>
      <c r="E27" s="319">
        <v>28457114.7</v>
      </c>
      <c r="F27" s="85">
        <f t="shared" si="0"/>
        <v>-7093495.870000001</v>
      </c>
      <c r="H27" s="86">
        <f>+F27</f>
        <v>-7093495.870000001</v>
      </c>
      <c r="I27" s="88"/>
      <c r="J27" s="87"/>
      <c r="K27" s="87"/>
      <c r="L27" s="87"/>
    </row>
    <row r="28" spans="1:12" ht="12.75">
      <c r="A28" s="84">
        <v>21</v>
      </c>
      <c r="B28" s="318">
        <v>10700503</v>
      </c>
      <c r="C28" s="4" t="s">
        <v>132</v>
      </c>
      <c r="D28" s="319">
        <v>49492436.71</v>
      </c>
      <c r="E28" s="319">
        <v>44472513.84</v>
      </c>
      <c r="F28" s="85">
        <f t="shared" si="0"/>
        <v>-5019922.869999997</v>
      </c>
      <c r="G28" s="88"/>
      <c r="I28" s="86">
        <f>+F28</f>
        <v>-5019922.869999997</v>
      </c>
      <c r="J28" s="87"/>
      <c r="K28" s="87"/>
      <c r="L28" s="87"/>
    </row>
    <row r="29" spans="1:12" ht="12.75">
      <c r="A29" s="84">
        <v>22</v>
      </c>
      <c r="B29" s="320">
        <v>10800061</v>
      </c>
      <c r="C29" s="4" t="s">
        <v>133</v>
      </c>
      <c r="D29" s="319">
        <v>-44757097</v>
      </c>
      <c r="E29" s="319">
        <v>-42591900</v>
      </c>
      <c r="F29" s="85">
        <f t="shared" si="0"/>
        <v>2165197</v>
      </c>
      <c r="G29" s="86">
        <f>+F29</f>
        <v>2165197</v>
      </c>
      <c r="H29" s="88"/>
      <c r="I29" s="88"/>
      <c r="J29" s="87"/>
      <c r="K29" s="87"/>
      <c r="L29" s="87"/>
    </row>
    <row r="30" spans="1:12" ht="12.75">
      <c r="A30" s="84">
        <v>23</v>
      </c>
      <c r="B30" s="320">
        <v>10800062</v>
      </c>
      <c r="C30" s="4" t="s">
        <v>133</v>
      </c>
      <c r="D30" s="319">
        <v>-128613199</v>
      </c>
      <c r="E30" s="319">
        <v>-151173151</v>
      </c>
      <c r="F30" s="85">
        <f t="shared" si="0"/>
        <v>-22559952</v>
      </c>
      <c r="G30" s="88"/>
      <c r="H30" s="86">
        <f>+F30</f>
        <v>-22559952</v>
      </c>
      <c r="I30" s="88"/>
      <c r="J30" s="87"/>
      <c r="K30" s="87"/>
      <c r="L30" s="87"/>
    </row>
    <row r="31" spans="1:12" ht="12.75">
      <c r="A31" s="84">
        <v>24</v>
      </c>
      <c r="B31" s="320">
        <v>10800071</v>
      </c>
      <c r="C31" s="4" t="s">
        <v>134</v>
      </c>
      <c r="D31" s="319">
        <v>44757097</v>
      </c>
      <c r="E31" s="319">
        <v>42591900</v>
      </c>
      <c r="F31" s="85">
        <f t="shared" si="0"/>
        <v>-2165197</v>
      </c>
      <c r="G31" s="86">
        <f>+F31</f>
        <v>-2165197</v>
      </c>
      <c r="H31" s="88"/>
      <c r="I31" s="88"/>
      <c r="J31" s="87"/>
      <c r="K31" s="87"/>
      <c r="L31" s="87"/>
    </row>
    <row r="32" spans="1:12" ht="12.75">
      <c r="A32" s="84">
        <v>25</v>
      </c>
      <c r="B32" s="320">
        <v>10800072</v>
      </c>
      <c r="C32" s="4" t="s">
        <v>134</v>
      </c>
      <c r="D32" s="319">
        <v>128613199</v>
      </c>
      <c r="E32" s="319">
        <v>151173151</v>
      </c>
      <c r="F32" s="85">
        <f t="shared" si="0"/>
        <v>22559952</v>
      </c>
      <c r="G32" s="88"/>
      <c r="H32" s="86">
        <f>+F32</f>
        <v>22559952</v>
      </c>
      <c r="I32" s="88"/>
      <c r="J32" s="87"/>
      <c r="K32" s="87"/>
      <c r="L32" s="87"/>
    </row>
    <row r="33" spans="1:12" ht="12.75">
      <c r="A33" s="84">
        <v>26</v>
      </c>
      <c r="B33" s="320">
        <v>10800501</v>
      </c>
      <c r="C33" s="4" t="s">
        <v>135</v>
      </c>
      <c r="D33" s="319">
        <v>-2480587191.32</v>
      </c>
      <c r="E33" s="319">
        <v>-2607399959.32</v>
      </c>
      <c r="F33" s="85">
        <f t="shared" si="0"/>
        <v>-126812768</v>
      </c>
      <c r="G33" s="86">
        <f>+F33</f>
        <v>-126812768</v>
      </c>
      <c r="H33" s="88"/>
      <c r="J33" s="87"/>
      <c r="K33" s="87"/>
      <c r="L33" s="87"/>
    </row>
    <row r="34" spans="1:12" ht="12.75">
      <c r="A34" s="84">
        <v>27</v>
      </c>
      <c r="B34" s="320">
        <v>10800502</v>
      </c>
      <c r="C34" s="4" t="s">
        <v>136</v>
      </c>
      <c r="D34" s="319">
        <v>-809173354.05</v>
      </c>
      <c r="E34" s="319">
        <v>-883019686.81</v>
      </c>
      <c r="F34" s="85">
        <f t="shared" si="0"/>
        <v>-73846332.75999999</v>
      </c>
      <c r="H34" s="86">
        <f>+F34</f>
        <v>-73846332.75999999</v>
      </c>
      <c r="I34" s="88"/>
      <c r="J34" s="87"/>
      <c r="K34" s="87"/>
      <c r="L34" s="87"/>
    </row>
    <row r="35" spans="1:12" ht="12.75">
      <c r="A35" s="84">
        <v>28</v>
      </c>
      <c r="B35" s="320">
        <v>10800503</v>
      </c>
      <c r="C35" s="4" t="s">
        <v>137</v>
      </c>
      <c r="D35" s="319">
        <v>-22726763.06</v>
      </c>
      <c r="E35" s="319">
        <v>-44372021.52</v>
      </c>
      <c r="F35" s="85">
        <f t="shared" si="0"/>
        <v>-21645258.460000005</v>
      </c>
      <c r="G35" s="88"/>
      <c r="H35" s="88"/>
      <c r="I35" s="86">
        <f>+F35</f>
        <v>-21645258.460000005</v>
      </c>
      <c r="J35" s="87"/>
      <c r="K35" s="87"/>
      <c r="L35" s="87"/>
    </row>
    <row r="36" spans="1:12" ht="12.75">
      <c r="A36" s="84">
        <v>29</v>
      </c>
      <c r="B36" s="320">
        <v>10800541</v>
      </c>
      <c r="C36" s="4" t="s">
        <v>138</v>
      </c>
      <c r="D36" s="319">
        <v>7500017.75</v>
      </c>
      <c r="E36" s="319">
        <v>8630340.23</v>
      </c>
      <c r="F36" s="85">
        <f t="shared" si="0"/>
        <v>1130322.4800000004</v>
      </c>
      <c r="G36" s="86">
        <f>+F36</f>
        <v>1130322.4800000004</v>
      </c>
      <c r="I36" s="88"/>
      <c r="J36" s="87"/>
      <c r="K36" s="87"/>
      <c r="L36" s="87"/>
    </row>
    <row r="37" spans="1:12" ht="12.75">
      <c r="A37" s="84">
        <v>30</v>
      </c>
      <c r="B37" s="320">
        <v>10800543</v>
      </c>
      <c r="C37" s="4" t="s">
        <v>139</v>
      </c>
      <c r="D37" s="319">
        <v>277801.62</v>
      </c>
      <c r="E37" s="319">
        <v>49947.22</v>
      </c>
      <c r="F37" s="85">
        <f t="shared" si="0"/>
        <v>-227854.4</v>
      </c>
      <c r="H37" s="88"/>
      <c r="I37" s="86">
        <f>+F37</f>
        <v>-227854.4</v>
      </c>
      <c r="J37" s="87"/>
      <c r="K37" s="87"/>
      <c r="L37" s="87"/>
    </row>
    <row r="38" spans="1:12" ht="12.75">
      <c r="A38" s="84">
        <v>31</v>
      </c>
      <c r="B38" s="320">
        <v>10800552</v>
      </c>
      <c r="C38" s="4" t="s">
        <v>140</v>
      </c>
      <c r="D38" s="319">
        <v>1024996.39</v>
      </c>
      <c r="E38" s="319">
        <v>1269062.32</v>
      </c>
      <c r="F38" s="85">
        <f t="shared" si="0"/>
        <v>244065.93000000005</v>
      </c>
      <c r="G38" s="88"/>
      <c r="H38" s="86">
        <f>+F38</f>
        <v>244065.93000000005</v>
      </c>
      <c r="I38" s="88"/>
      <c r="J38" s="87"/>
      <c r="K38" s="87"/>
      <c r="L38" s="87"/>
    </row>
    <row r="39" spans="1:12" ht="12.75">
      <c r="A39" s="84">
        <v>32</v>
      </c>
      <c r="B39" s="318">
        <v>11100501</v>
      </c>
      <c r="C39" s="4" t="s">
        <v>141</v>
      </c>
      <c r="D39" s="319">
        <v>-11585595.26</v>
      </c>
      <c r="E39" s="319">
        <v>-14744561.5</v>
      </c>
      <c r="F39" s="85">
        <f t="shared" si="0"/>
        <v>-3158966.24</v>
      </c>
      <c r="G39" s="88"/>
      <c r="H39" s="88"/>
      <c r="I39" s="86">
        <f>+F39</f>
        <v>-3158966.24</v>
      </c>
      <c r="J39" s="87"/>
      <c r="K39" s="87"/>
      <c r="L39" s="87"/>
    </row>
    <row r="40" spans="1:12" ht="12.75">
      <c r="A40" s="84">
        <v>33</v>
      </c>
      <c r="B40" s="318">
        <v>11100502</v>
      </c>
      <c r="C40" s="4" t="s">
        <v>142</v>
      </c>
      <c r="D40" s="319">
        <v>-11113978.73</v>
      </c>
      <c r="E40" s="319">
        <v>-7798339.3</v>
      </c>
      <c r="F40" s="85">
        <f t="shared" si="0"/>
        <v>3315639.4300000006</v>
      </c>
      <c r="H40" s="86">
        <f>+F40</f>
        <v>3315639.4300000006</v>
      </c>
      <c r="I40" s="88"/>
      <c r="J40" s="87"/>
      <c r="K40" s="87"/>
      <c r="L40" s="87"/>
    </row>
    <row r="41" spans="1:12" ht="12.75">
      <c r="A41" s="84">
        <v>34</v>
      </c>
      <c r="B41" s="318">
        <v>11100503</v>
      </c>
      <c r="C41" s="4" t="s">
        <v>143</v>
      </c>
      <c r="D41" s="319">
        <v>-249619378.38</v>
      </c>
      <c r="E41" s="319">
        <v>-95534225.14</v>
      </c>
      <c r="F41" s="85">
        <f t="shared" si="0"/>
        <v>154085153.24</v>
      </c>
      <c r="H41" s="88"/>
      <c r="I41" s="86">
        <f>+F41</f>
        <v>154085153.24</v>
      </c>
      <c r="J41" s="87"/>
      <c r="K41" s="87"/>
      <c r="L41" s="87"/>
    </row>
    <row r="42" spans="1:12" ht="12.75">
      <c r="A42" s="84">
        <v>35</v>
      </c>
      <c r="B42" s="320">
        <v>11400001</v>
      </c>
      <c r="C42" s="4" t="s">
        <v>144</v>
      </c>
      <c r="D42" s="319">
        <v>946172.25</v>
      </c>
      <c r="E42" s="319">
        <v>946172.25</v>
      </c>
      <c r="F42" s="85">
        <f t="shared" si="0"/>
        <v>0</v>
      </c>
      <c r="G42" s="86">
        <f aca="true" t="shared" si="1" ref="G42:G51">+F42</f>
        <v>0</v>
      </c>
      <c r="H42" s="88"/>
      <c r="I42" s="88"/>
      <c r="J42" s="87"/>
      <c r="K42" s="87"/>
      <c r="L42" s="87"/>
    </row>
    <row r="43" spans="1:12" ht="12.75">
      <c r="A43" s="84">
        <v>36</v>
      </c>
      <c r="B43" s="320">
        <v>11400011</v>
      </c>
      <c r="C43" s="4" t="s">
        <v>145</v>
      </c>
      <c r="D43" s="319">
        <v>302358.01</v>
      </c>
      <c r="E43" s="319">
        <v>302358.01</v>
      </c>
      <c r="F43" s="85">
        <f t="shared" si="0"/>
        <v>0</v>
      </c>
      <c r="G43" s="86">
        <f t="shared" si="1"/>
        <v>0</v>
      </c>
      <c r="H43" s="88"/>
      <c r="I43" s="88"/>
      <c r="J43" s="87"/>
      <c r="K43" s="87"/>
      <c r="L43" s="87"/>
    </row>
    <row r="44" spans="1:12" ht="12.75">
      <c r="A44" s="84">
        <v>37</v>
      </c>
      <c r="B44" s="320">
        <v>11400031</v>
      </c>
      <c r="C44" s="4" t="s">
        <v>146</v>
      </c>
      <c r="D44" s="319">
        <v>76622596.84</v>
      </c>
      <c r="E44" s="319">
        <v>76622596.84</v>
      </c>
      <c r="F44" s="85">
        <f t="shared" si="0"/>
        <v>0</v>
      </c>
      <c r="G44" s="86">
        <f t="shared" si="1"/>
        <v>0</v>
      </c>
      <c r="H44" s="88"/>
      <c r="I44" s="88"/>
      <c r="J44" s="87"/>
      <c r="K44" s="87"/>
      <c r="L44" s="87"/>
    </row>
    <row r="45" spans="1:12" ht="12.75">
      <c r="A45" s="84">
        <v>38</v>
      </c>
      <c r="B45" s="320">
        <v>11400061</v>
      </c>
      <c r="C45" s="4" t="s">
        <v>147</v>
      </c>
      <c r="D45" s="319">
        <v>156871211.29</v>
      </c>
      <c r="E45" s="319">
        <v>156960790.84</v>
      </c>
      <c r="F45" s="85">
        <f t="shared" si="0"/>
        <v>89579.55000001192</v>
      </c>
      <c r="G45" s="86">
        <f t="shared" si="1"/>
        <v>89579.55000001192</v>
      </c>
      <c r="H45" s="88"/>
      <c r="I45" s="88"/>
      <c r="J45" s="87"/>
      <c r="K45" s="87"/>
      <c r="L45" s="87"/>
    </row>
    <row r="46" spans="1:12" ht="12.75">
      <c r="A46" s="84">
        <v>39</v>
      </c>
      <c r="B46" s="321" t="s">
        <v>148</v>
      </c>
      <c r="C46" s="322" t="s">
        <v>149</v>
      </c>
      <c r="D46" s="319">
        <v>16950332.9</v>
      </c>
      <c r="E46" s="319">
        <v>16950332.9</v>
      </c>
      <c r="F46" s="85">
        <f t="shared" si="0"/>
        <v>0</v>
      </c>
      <c r="G46" s="86">
        <f t="shared" si="1"/>
        <v>0</v>
      </c>
      <c r="H46" s="88"/>
      <c r="I46" s="88"/>
      <c r="J46" s="87"/>
      <c r="K46" s="87"/>
      <c r="L46" s="87"/>
    </row>
    <row r="47" spans="1:12" ht="12.75">
      <c r="A47" s="84">
        <v>40</v>
      </c>
      <c r="B47" s="320">
        <v>11500001</v>
      </c>
      <c r="C47" s="4" t="s">
        <v>150</v>
      </c>
      <c r="D47" s="319">
        <v>-718989</v>
      </c>
      <c r="E47" s="319">
        <v>-744789</v>
      </c>
      <c r="F47" s="85">
        <f t="shared" si="0"/>
        <v>-25800</v>
      </c>
      <c r="G47" s="86">
        <f t="shared" si="1"/>
        <v>-25800</v>
      </c>
      <c r="H47" s="88"/>
      <c r="I47" s="88"/>
      <c r="J47" s="87"/>
      <c r="K47" s="87"/>
      <c r="L47" s="87"/>
    </row>
    <row r="48" spans="1:12" ht="12.75">
      <c r="A48" s="84">
        <v>41</v>
      </c>
      <c r="B48" s="320">
        <v>11500011</v>
      </c>
      <c r="C48" s="4" t="s">
        <v>151</v>
      </c>
      <c r="D48" s="319">
        <v>-282799</v>
      </c>
      <c r="E48" s="319">
        <v>-293998.96</v>
      </c>
      <c r="F48" s="85">
        <f t="shared" si="0"/>
        <v>-11199.960000000021</v>
      </c>
      <c r="G48" s="86">
        <f t="shared" si="1"/>
        <v>-11199.960000000021</v>
      </c>
      <c r="H48" s="88"/>
      <c r="I48" s="88"/>
      <c r="J48" s="87"/>
      <c r="K48" s="87"/>
      <c r="L48" s="87"/>
    </row>
    <row r="49" spans="1:12" ht="12.75">
      <c r="A49" s="84">
        <v>42</v>
      </c>
      <c r="B49" s="320">
        <v>11500031</v>
      </c>
      <c r="C49" s="4" t="s">
        <v>152</v>
      </c>
      <c r="D49" s="319">
        <v>-42577038.66</v>
      </c>
      <c r="E49" s="319">
        <v>-45229938.66</v>
      </c>
      <c r="F49" s="85">
        <f t="shared" si="0"/>
        <v>-2652900</v>
      </c>
      <c r="G49" s="86">
        <f t="shared" si="1"/>
        <v>-2652900</v>
      </c>
      <c r="H49" s="88"/>
      <c r="I49" s="88"/>
      <c r="J49" s="87"/>
      <c r="K49" s="87"/>
      <c r="L49" s="87"/>
    </row>
    <row r="50" spans="1:12" ht="12.75">
      <c r="A50" s="84">
        <v>43</v>
      </c>
      <c r="B50" s="320" t="s">
        <v>153</v>
      </c>
      <c r="C50" s="4" t="s">
        <v>154</v>
      </c>
      <c r="D50" s="319">
        <v>-4868295.64</v>
      </c>
      <c r="E50" s="319">
        <v>-9484643.08</v>
      </c>
      <c r="F50" s="85">
        <f t="shared" si="0"/>
        <v>-4616347.44</v>
      </c>
      <c r="G50" s="86">
        <f t="shared" si="1"/>
        <v>-4616347.44</v>
      </c>
      <c r="H50" s="88"/>
      <c r="I50" s="88"/>
      <c r="J50" s="87"/>
      <c r="K50" s="87"/>
      <c r="L50" s="87"/>
    </row>
    <row r="51" spans="1:12" ht="12.75">
      <c r="A51" s="84">
        <v>44</v>
      </c>
      <c r="B51" s="321" t="s">
        <v>155</v>
      </c>
      <c r="C51" s="322" t="s">
        <v>156</v>
      </c>
      <c r="D51" s="319">
        <v>-2084268.61</v>
      </c>
      <c r="E51" s="319">
        <v>-4369173.49</v>
      </c>
      <c r="F51" s="85">
        <f t="shared" si="0"/>
        <v>-2284904.88</v>
      </c>
      <c r="G51" s="86">
        <f t="shared" si="1"/>
        <v>-2284904.88</v>
      </c>
      <c r="H51" s="88"/>
      <c r="I51" s="88"/>
      <c r="J51" s="87"/>
      <c r="K51" s="87"/>
      <c r="L51" s="87"/>
    </row>
    <row r="52" spans="1:12" ht="12.75">
      <c r="A52" s="84">
        <v>45</v>
      </c>
      <c r="B52" s="320">
        <v>11730002</v>
      </c>
      <c r="C52" s="4" t="s">
        <v>157</v>
      </c>
      <c r="D52" s="319">
        <v>7529405.16</v>
      </c>
      <c r="E52" s="319">
        <v>8057045.17</v>
      </c>
      <c r="F52" s="85">
        <f t="shared" si="0"/>
        <v>527640.0099999998</v>
      </c>
      <c r="G52" s="88"/>
      <c r="H52" s="86">
        <f>+F52</f>
        <v>527640.0099999998</v>
      </c>
      <c r="I52" s="88"/>
      <c r="J52" s="87"/>
      <c r="K52" s="87"/>
      <c r="L52" s="87"/>
    </row>
    <row r="53" spans="1:12" ht="12.75">
      <c r="A53" s="84">
        <v>46</v>
      </c>
      <c r="B53" s="315"/>
      <c r="C53" s="99" t="s">
        <v>17</v>
      </c>
      <c r="D53" s="323">
        <f aca="true" t="shared" si="2" ref="D53:I53">SUM(D8:D52)</f>
        <v>6596143055.610001</v>
      </c>
      <c r="E53" s="323">
        <f t="shared" si="2"/>
        <v>7092029211.779999</v>
      </c>
      <c r="F53" s="89">
        <f t="shared" si="2"/>
        <v>495886156.16999924</v>
      </c>
      <c r="G53" s="89">
        <f t="shared" si="2"/>
        <v>445408747.4699994</v>
      </c>
      <c r="H53" s="89">
        <f t="shared" si="2"/>
        <v>45671858.00999997</v>
      </c>
      <c r="I53" s="89">
        <f t="shared" si="2"/>
        <v>4805550.690000027</v>
      </c>
      <c r="J53" s="69"/>
      <c r="K53" s="69"/>
      <c r="L53" s="69"/>
    </row>
    <row r="54" spans="1:12" ht="12.75">
      <c r="A54" s="84">
        <v>47</v>
      </c>
      <c r="B54" s="90" t="s">
        <v>281</v>
      </c>
      <c r="D54" s="69"/>
      <c r="E54" s="91"/>
      <c r="G54" s="92">
        <f>+I53*0.6651</f>
        <v>3196171.763919018</v>
      </c>
      <c r="H54" s="92">
        <f>+I53*0.3349</f>
        <v>1609378.926081009</v>
      </c>
      <c r="I54" s="69"/>
      <c r="J54" s="69"/>
      <c r="K54" s="69"/>
      <c r="L54" s="69"/>
    </row>
    <row r="55" spans="1:12" ht="13.5" thickBot="1">
      <c r="A55" s="84">
        <v>48</v>
      </c>
      <c r="D55" s="69"/>
      <c r="E55" s="93"/>
      <c r="F55" s="94"/>
      <c r="G55" s="95">
        <f>+G53+G54</f>
        <v>448604919.23391837</v>
      </c>
      <c r="H55" s="95">
        <f>+H53+H54</f>
        <v>47281236.93608098</v>
      </c>
      <c r="I55" s="94"/>
      <c r="J55" s="94"/>
      <c r="K55" s="94"/>
      <c r="L55" s="94"/>
    </row>
    <row r="56" spans="4:12" ht="13.5" thickTop="1">
      <c r="D56" s="69"/>
      <c r="E56" s="69"/>
      <c r="F56" s="94"/>
      <c r="G56" s="94"/>
      <c r="H56" s="94"/>
      <c r="I56" s="94"/>
      <c r="J56" s="94"/>
      <c r="K56" s="94"/>
      <c r="L56" s="94"/>
    </row>
    <row r="57" spans="4:12" ht="12.75">
      <c r="D57" s="69"/>
      <c r="E57" s="69"/>
      <c r="F57" s="94"/>
      <c r="G57" s="94"/>
      <c r="H57" s="94"/>
      <c r="I57" s="94"/>
      <c r="J57" s="94"/>
      <c r="K57" s="94"/>
      <c r="L57" s="94"/>
    </row>
    <row r="58" spans="4:12" ht="12.75">
      <c r="D58" s="69"/>
      <c r="E58" s="69"/>
      <c r="F58" s="94"/>
      <c r="G58" s="94"/>
      <c r="H58" s="94"/>
      <c r="I58" s="94"/>
      <c r="J58" s="94"/>
      <c r="K58" s="94"/>
      <c r="L58" s="94"/>
    </row>
    <row r="59" spans="4:12" ht="12.75">
      <c r="D59" s="69"/>
      <c r="E59" s="93"/>
      <c r="F59" s="79"/>
      <c r="G59" s="79"/>
      <c r="H59" s="79"/>
      <c r="I59" s="79"/>
      <c r="J59" s="79"/>
      <c r="K59" s="79"/>
      <c r="L59" s="79"/>
    </row>
    <row r="60" spans="4:12" ht="12.75">
      <c r="D60" s="96"/>
      <c r="E60" s="97"/>
      <c r="F60" s="79"/>
      <c r="G60" s="79"/>
      <c r="H60" s="79"/>
      <c r="I60" s="79"/>
      <c r="J60" s="79"/>
      <c r="K60" s="79"/>
      <c r="L60" s="79"/>
    </row>
    <row r="61" spans="4:12" ht="12.75">
      <c r="D61" s="69"/>
      <c r="E61" s="93"/>
      <c r="F61" s="79"/>
      <c r="G61" s="79"/>
      <c r="H61" s="79"/>
      <c r="I61" s="79"/>
      <c r="J61" s="79"/>
      <c r="K61" s="79"/>
      <c r="L61" s="79"/>
    </row>
    <row r="62" spans="4:12" ht="12.75">
      <c r="D62" s="69"/>
      <c r="E62" s="93"/>
      <c r="F62" s="69"/>
      <c r="G62" s="69"/>
      <c r="H62" s="69"/>
      <c r="I62" s="69"/>
      <c r="J62" s="69"/>
      <c r="K62" s="69"/>
      <c r="L62" s="69"/>
    </row>
    <row r="63" spans="4:12" ht="12.75">
      <c r="D63" s="98"/>
      <c r="E63" s="98"/>
      <c r="F63" s="69"/>
      <c r="G63" s="69"/>
      <c r="H63" s="69"/>
      <c r="I63" s="69"/>
      <c r="J63" s="69"/>
      <c r="K63" s="69"/>
      <c r="L63" s="69"/>
    </row>
    <row r="64" spans="4:12" ht="12.75">
      <c r="D64" s="69"/>
      <c r="E64" s="93"/>
      <c r="F64" s="69"/>
      <c r="G64" s="69"/>
      <c r="H64" s="69"/>
      <c r="I64" s="69"/>
      <c r="J64" s="69"/>
      <c r="K64" s="69"/>
      <c r="L64" s="69"/>
    </row>
    <row r="65" spans="4:12" ht="12.75">
      <c r="D65" s="69"/>
      <c r="E65" s="93"/>
      <c r="F65" s="69"/>
      <c r="G65" s="69"/>
      <c r="H65" s="69"/>
      <c r="I65" s="69"/>
      <c r="J65" s="69"/>
      <c r="K65" s="69"/>
      <c r="L65" s="69"/>
    </row>
    <row r="66" spans="4:12" ht="12.75">
      <c r="D66" s="69"/>
      <c r="E66" s="93"/>
      <c r="F66" s="69"/>
      <c r="G66" s="69"/>
      <c r="H66" s="69"/>
      <c r="I66" s="69"/>
      <c r="J66" s="69"/>
      <c r="K66" s="69"/>
      <c r="L66" s="69"/>
    </row>
    <row r="67" spans="4:12" ht="12.75">
      <c r="D67" s="69"/>
      <c r="E67" s="93"/>
      <c r="F67" s="69"/>
      <c r="G67" s="69"/>
      <c r="H67" s="69"/>
      <c r="I67" s="69"/>
      <c r="J67" s="69"/>
      <c r="K67" s="69"/>
      <c r="L67" s="69"/>
    </row>
    <row r="68" spans="4:12" ht="12.75">
      <c r="D68" s="69"/>
      <c r="E68" s="69"/>
      <c r="F68" s="69"/>
      <c r="G68" s="69"/>
      <c r="H68" s="69"/>
      <c r="I68" s="69"/>
      <c r="J68" s="69"/>
      <c r="K68" s="69"/>
      <c r="L68" s="69"/>
    </row>
    <row r="69" spans="4:12" ht="12.75">
      <c r="D69" s="69"/>
      <c r="E69" s="93"/>
      <c r="F69" s="69"/>
      <c r="G69" s="69"/>
      <c r="H69" s="69"/>
      <c r="I69" s="69"/>
      <c r="J69" s="69"/>
      <c r="K69" s="69"/>
      <c r="L69" s="69"/>
    </row>
    <row r="70" ht="12.75">
      <c r="E70" s="69"/>
    </row>
    <row r="71" ht="12.75">
      <c r="E71" s="93"/>
    </row>
    <row r="72" ht="12.75">
      <c r="E72" s="93"/>
    </row>
    <row r="73" ht="12.75">
      <c r="E73" s="93"/>
    </row>
    <row r="74" ht="12.75">
      <c r="E74" s="93"/>
    </row>
    <row r="75" ht="12.75">
      <c r="E75" s="69"/>
    </row>
    <row r="76" ht="12.75">
      <c r="E76" s="69"/>
    </row>
    <row r="77" ht="12.75">
      <c r="E77" s="69"/>
    </row>
    <row r="78" ht="12.75">
      <c r="E78" s="69"/>
    </row>
    <row r="79" ht="12.75">
      <c r="E79" s="69"/>
    </row>
    <row r="80" ht="12.75">
      <c r="E80" s="69"/>
    </row>
    <row r="81" ht="12.75">
      <c r="E81" s="69"/>
    </row>
    <row r="82" ht="12.75">
      <c r="E82" s="69"/>
    </row>
    <row r="83" ht="12.75">
      <c r="E83" s="69"/>
    </row>
    <row r="84" ht="12.75">
      <c r="E84" s="69"/>
    </row>
    <row r="85" ht="12.75">
      <c r="E85" s="69"/>
    </row>
  </sheetData>
  <sheetProtection/>
  <printOptions/>
  <pageMargins left="0.67" right="0" top="0.64" bottom="0.31" header="0.3" footer="0.2"/>
  <pageSetup horizontalDpi="600" verticalDpi="6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U9" sqref="U9"/>
    </sheetView>
  </sheetViews>
  <sheetFormatPr defaultColWidth="9.140625" defaultRowHeight="12.75"/>
  <cols>
    <col min="19" max="19" width="7.8515625" style="0" customWidth="1"/>
  </cols>
  <sheetData/>
  <sheetProtection/>
  <printOptions/>
  <pageMargins left="0.17" right="0.25" top="0.28" bottom="0.5" header="0.43" footer="0.5"/>
  <pageSetup fitToHeight="1" fitToWidth="1" horizontalDpi="600" verticalDpi="600" orientation="landscape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7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7" sqref="E57"/>
    </sheetView>
  </sheetViews>
  <sheetFormatPr defaultColWidth="9.140625" defaultRowHeight="12.75"/>
  <cols>
    <col min="1" max="1" width="9.421875" style="315" customWidth="1"/>
    <col min="2" max="2" width="38.7109375" style="315" customWidth="1"/>
    <col min="3" max="3" width="18.28125" style="315" bestFit="1" customWidth="1"/>
    <col min="4" max="15" width="17.28125" style="315" bestFit="1" customWidth="1"/>
    <col min="16" max="16" width="15.00390625" style="324" bestFit="1" customWidth="1"/>
    <col min="17" max="16384" width="9.140625" style="315" customWidth="1"/>
  </cols>
  <sheetData>
    <row r="1" spans="1:23" ht="12.75">
      <c r="A1" s="66" t="s">
        <v>102</v>
      </c>
      <c r="B1" s="67"/>
      <c r="C1" s="68"/>
      <c r="D1" s="68"/>
      <c r="E1" s="68"/>
      <c r="F1" s="68"/>
      <c r="G1" s="68"/>
      <c r="H1" s="68"/>
      <c r="I1" s="99"/>
      <c r="J1" s="99"/>
      <c r="K1" s="99"/>
      <c r="L1" s="99"/>
      <c r="M1" s="99"/>
      <c r="N1" s="99"/>
      <c r="O1" s="99"/>
      <c r="P1" s="100"/>
      <c r="Q1" s="99"/>
      <c r="R1" s="99"/>
      <c r="S1" s="99"/>
      <c r="T1" s="99"/>
      <c r="U1" s="99"/>
      <c r="V1" s="99"/>
      <c r="W1" s="99"/>
    </row>
    <row r="2" spans="1:23" ht="12.75">
      <c r="A2" s="66" t="s">
        <v>158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00"/>
      <c r="Q2" s="99"/>
      <c r="R2" s="99"/>
      <c r="S2" s="99"/>
      <c r="T2" s="99"/>
      <c r="U2" s="99"/>
      <c r="V2" s="99"/>
      <c r="W2" s="99"/>
    </row>
    <row r="3" spans="1:23" ht="12.75">
      <c r="A3" s="72" t="s">
        <v>270</v>
      </c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100"/>
      <c r="Q3" s="99"/>
      <c r="R3" s="99"/>
      <c r="S3" s="99"/>
      <c r="T3" s="99"/>
      <c r="U3" s="99"/>
      <c r="V3" s="99"/>
      <c r="W3" s="99"/>
    </row>
    <row r="4" spans="1:23" ht="12.75">
      <c r="A4" s="66"/>
      <c r="B4" s="316"/>
      <c r="C4" s="74" t="s">
        <v>271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101" t="s">
        <v>159</v>
      </c>
      <c r="Q4" s="99"/>
      <c r="R4" s="99"/>
      <c r="S4" s="99"/>
      <c r="T4" s="99"/>
      <c r="U4" s="99"/>
      <c r="V4" s="99"/>
      <c r="W4" s="99"/>
    </row>
    <row r="5" spans="1:23" ht="12.75">
      <c r="A5" s="102" t="s">
        <v>107</v>
      </c>
      <c r="B5" s="103" t="s">
        <v>108</v>
      </c>
      <c r="C5" s="317">
        <v>40178</v>
      </c>
      <c r="D5" s="317">
        <v>40209</v>
      </c>
      <c r="E5" s="317">
        <v>40237</v>
      </c>
      <c r="F5" s="317">
        <v>40268</v>
      </c>
      <c r="G5" s="317">
        <v>40298</v>
      </c>
      <c r="H5" s="317">
        <v>40329</v>
      </c>
      <c r="I5" s="317">
        <v>40359</v>
      </c>
      <c r="J5" s="317">
        <v>40390</v>
      </c>
      <c r="K5" s="317">
        <v>40421</v>
      </c>
      <c r="L5" s="317">
        <v>40451</v>
      </c>
      <c r="M5" s="317">
        <v>40482</v>
      </c>
      <c r="N5" s="317">
        <v>40512</v>
      </c>
      <c r="O5" s="317">
        <v>40543</v>
      </c>
      <c r="P5" s="105" t="s">
        <v>279</v>
      </c>
      <c r="Q5" s="99"/>
      <c r="R5" s="99"/>
      <c r="S5" s="99"/>
      <c r="T5" s="99"/>
      <c r="U5" s="99"/>
      <c r="V5" s="99"/>
      <c r="W5" s="99"/>
    </row>
    <row r="6" spans="1:23" ht="12.75">
      <c r="A6" s="318">
        <v>10100501</v>
      </c>
      <c r="B6" s="4" t="s">
        <v>112</v>
      </c>
      <c r="C6" s="319">
        <v>6272094465.43</v>
      </c>
      <c r="D6" s="319">
        <v>6354773331.67</v>
      </c>
      <c r="E6" s="319">
        <v>6366574985.4</v>
      </c>
      <c r="F6" s="319">
        <v>6391877412.4</v>
      </c>
      <c r="G6" s="319">
        <v>6403857936.63</v>
      </c>
      <c r="H6" s="319">
        <v>6415253498.66</v>
      </c>
      <c r="I6" s="319">
        <v>6476360047.13</v>
      </c>
      <c r="J6" s="319">
        <v>6475606429.14</v>
      </c>
      <c r="K6" s="319">
        <v>6513164554.75</v>
      </c>
      <c r="L6" s="319">
        <v>6534214545.3</v>
      </c>
      <c r="M6" s="319">
        <v>6556009318.09</v>
      </c>
      <c r="N6" s="319">
        <v>6663617356.94</v>
      </c>
      <c r="O6" s="319">
        <v>6744294015.4</v>
      </c>
      <c r="P6" s="85">
        <f>+O6-C6</f>
        <v>472199549.9699993</v>
      </c>
      <c r="Q6" s="87"/>
      <c r="R6" s="87"/>
      <c r="S6" s="87"/>
      <c r="T6" s="87"/>
      <c r="U6" s="87"/>
      <c r="V6" s="87"/>
      <c r="W6" s="87"/>
    </row>
    <row r="7" spans="1:23" ht="12.75">
      <c r="A7" s="318">
        <v>10100502</v>
      </c>
      <c r="B7" s="4" t="s">
        <v>113</v>
      </c>
      <c r="C7" s="319">
        <v>2548479919.25</v>
      </c>
      <c r="D7" s="319">
        <v>2559284403.7</v>
      </c>
      <c r="E7" s="319">
        <v>2565581981.01</v>
      </c>
      <c r="F7" s="319">
        <v>2583735358.53</v>
      </c>
      <c r="G7" s="319">
        <v>2593533507.62</v>
      </c>
      <c r="H7" s="319">
        <v>2601710861.78</v>
      </c>
      <c r="I7" s="319">
        <v>2611061603.36</v>
      </c>
      <c r="J7" s="319">
        <v>2619623214.82</v>
      </c>
      <c r="K7" s="319">
        <v>2633720699.25</v>
      </c>
      <c r="L7" s="319">
        <v>2648501464.89</v>
      </c>
      <c r="M7" s="319">
        <v>2652963912.68</v>
      </c>
      <c r="N7" s="319">
        <v>2663975253.79</v>
      </c>
      <c r="O7" s="319">
        <v>2671376897.04</v>
      </c>
      <c r="P7" s="85">
        <f aca="true" t="shared" si="0" ref="P7:P50">+O7-C7</f>
        <v>122896977.78999996</v>
      </c>
      <c r="Q7" s="87"/>
      <c r="R7" s="87"/>
      <c r="S7" s="87"/>
      <c r="T7" s="87"/>
      <c r="U7" s="87"/>
      <c r="V7" s="87"/>
      <c r="W7" s="87"/>
    </row>
    <row r="8" spans="1:23" ht="12.75">
      <c r="A8" s="318">
        <v>10100503</v>
      </c>
      <c r="B8" s="4" t="s">
        <v>114</v>
      </c>
      <c r="C8" s="319">
        <v>489208015.57</v>
      </c>
      <c r="D8" s="319">
        <v>496000518.95</v>
      </c>
      <c r="E8" s="319">
        <v>497124896.79</v>
      </c>
      <c r="F8" s="319">
        <v>513006230.7</v>
      </c>
      <c r="G8" s="319">
        <v>510658917.23</v>
      </c>
      <c r="H8" s="319">
        <v>514835522.4</v>
      </c>
      <c r="I8" s="319">
        <v>370804099.39</v>
      </c>
      <c r="J8" s="319">
        <v>350251169.66</v>
      </c>
      <c r="K8" s="319">
        <v>350405203.91</v>
      </c>
      <c r="L8" s="319">
        <v>351880660.68</v>
      </c>
      <c r="M8" s="319">
        <v>352339951.9</v>
      </c>
      <c r="N8" s="319">
        <v>357525702.42</v>
      </c>
      <c r="O8" s="319">
        <v>378255131.1</v>
      </c>
      <c r="P8" s="85">
        <f t="shared" si="0"/>
        <v>-110952884.46999997</v>
      </c>
      <c r="Q8" s="87"/>
      <c r="R8" s="87"/>
      <c r="S8" s="87"/>
      <c r="T8" s="87"/>
      <c r="U8" s="87"/>
      <c r="V8" s="87"/>
      <c r="W8" s="87"/>
    </row>
    <row r="9" spans="1:23" ht="12.75">
      <c r="A9" s="320" t="s">
        <v>160</v>
      </c>
      <c r="B9" s="4" t="s">
        <v>161</v>
      </c>
      <c r="C9" s="319">
        <v>12178401.06</v>
      </c>
      <c r="D9" s="319">
        <v>0</v>
      </c>
      <c r="E9" s="319">
        <v>0</v>
      </c>
      <c r="F9" s="319">
        <v>0</v>
      </c>
      <c r="G9" s="319">
        <v>0</v>
      </c>
      <c r="H9" s="319">
        <v>0</v>
      </c>
      <c r="I9" s="319">
        <v>0</v>
      </c>
      <c r="J9" s="319">
        <v>0</v>
      </c>
      <c r="K9" s="319">
        <v>0</v>
      </c>
      <c r="L9" s="319">
        <v>0</v>
      </c>
      <c r="M9" s="319">
        <v>0</v>
      </c>
      <c r="N9" s="319">
        <v>0</v>
      </c>
      <c r="O9" s="319">
        <v>0</v>
      </c>
      <c r="P9" s="85">
        <f t="shared" si="0"/>
        <v>-12178401.06</v>
      </c>
      <c r="Q9" s="87"/>
      <c r="R9" s="87"/>
      <c r="S9" s="87"/>
      <c r="T9" s="87"/>
      <c r="U9" s="87"/>
      <c r="V9" s="87"/>
      <c r="W9" s="87"/>
    </row>
    <row r="10" spans="1:23" ht="12.75">
      <c r="A10" s="320" t="s">
        <v>115</v>
      </c>
      <c r="B10" s="4" t="s">
        <v>116</v>
      </c>
      <c r="C10" s="319">
        <v>42391269.6</v>
      </c>
      <c r="D10" s="319">
        <v>0</v>
      </c>
      <c r="E10" s="319">
        <v>0</v>
      </c>
      <c r="F10" s="319">
        <v>0</v>
      </c>
      <c r="G10" s="319">
        <v>0</v>
      </c>
      <c r="H10" s="319">
        <v>0</v>
      </c>
      <c r="I10" s="319">
        <v>0</v>
      </c>
      <c r="J10" s="319">
        <v>0</v>
      </c>
      <c r="K10" s="319">
        <v>0</v>
      </c>
      <c r="L10" s="319">
        <v>0</v>
      </c>
      <c r="M10" s="319">
        <v>0</v>
      </c>
      <c r="N10" s="319">
        <v>0</v>
      </c>
      <c r="O10" s="319">
        <v>0</v>
      </c>
      <c r="P10" s="85">
        <f t="shared" si="0"/>
        <v>-42391269.6</v>
      </c>
      <c r="Q10" s="87"/>
      <c r="R10" s="87"/>
      <c r="S10" s="87"/>
      <c r="T10" s="87"/>
      <c r="U10" s="87"/>
      <c r="V10" s="87"/>
      <c r="W10" s="87"/>
    </row>
    <row r="11" spans="1:23" ht="12.75">
      <c r="A11" s="320" t="s">
        <v>117</v>
      </c>
      <c r="B11" s="4" t="s">
        <v>118</v>
      </c>
      <c r="C11" s="319">
        <v>826434</v>
      </c>
      <c r="D11" s="319">
        <v>0</v>
      </c>
      <c r="E11" s="319">
        <v>0</v>
      </c>
      <c r="F11" s="319">
        <v>0</v>
      </c>
      <c r="G11" s="319">
        <v>0</v>
      </c>
      <c r="H11" s="319">
        <v>0</v>
      </c>
      <c r="I11" s="319">
        <v>0</v>
      </c>
      <c r="J11" s="319">
        <v>0</v>
      </c>
      <c r="K11" s="319">
        <v>0</v>
      </c>
      <c r="L11" s="319">
        <v>0</v>
      </c>
      <c r="M11" s="319">
        <v>0</v>
      </c>
      <c r="N11" s="319">
        <v>0</v>
      </c>
      <c r="O11" s="319">
        <v>0</v>
      </c>
      <c r="P11" s="85">
        <f t="shared" si="0"/>
        <v>-826434</v>
      </c>
      <c r="Q11" s="87"/>
      <c r="R11" s="87"/>
      <c r="S11" s="87"/>
      <c r="T11" s="87"/>
      <c r="U11" s="87"/>
      <c r="V11" s="87"/>
      <c r="W11" s="87"/>
    </row>
    <row r="12" spans="1:23" ht="12.75">
      <c r="A12" s="318">
        <v>10500501</v>
      </c>
      <c r="B12" s="4" t="s">
        <v>119</v>
      </c>
      <c r="C12" s="319">
        <v>25955940.98</v>
      </c>
      <c r="D12" s="319">
        <v>27634095.42</v>
      </c>
      <c r="E12" s="319">
        <v>27674536.85</v>
      </c>
      <c r="F12" s="319">
        <v>27985126.17</v>
      </c>
      <c r="G12" s="319">
        <v>28005808.91</v>
      </c>
      <c r="H12" s="319">
        <v>28096109.32</v>
      </c>
      <c r="I12" s="319">
        <v>28311184.75</v>
      </c>
      <c r="J12" s="319">
        <v>29227315.32</v>
      </c>
      <c r="K12" s="319">
        <v>29532515.85</v>
      </c>
      <c r="L12" s="319">
        <v>29492171.71</v>
      </c>
      <c r="M12" s="319">
        <v>29491328.84</v>
      </c>
      <c r="N12" s="319">
        <v>29445701.5</v>
      </c>
      <c r="O12" s="319">
        <v>29445701.5</v>
      </c>
      <c r="P12" s="85">
        <f t="shared" si="0"/>
        <v>3489760.5199999996</v>
      </c>
      <c r="Q12" s="87"/>
      <c r="R12" s="87"/>
      <c r="S12" s="87"/>
      <c r="T12" s="87"/>
      <c r="U12" s="87"/>
      <c r="V12" s="87"/>
      <c r="W12" s="87"/>
    </row>
    <row r="13" spans="1:23" ht="12.75">
      <c r="A13" s="318">
        <v>10500502</v>
      </c>
      <c r="B13" s="4" t="s">
        <v>120</v>
      </c>
      <c r="C13" s="319">
        <v>12575727.53</v>
      </c>
      <c r="D13" s="319">
        <v>12576781.97</v>
      </c>
      <c r="E13" s="319">
        <v>12581550.7</v>
      </c>
      <c r="F13" s="319">
        <v>12581535.26</v>
      </c>
      <c r="G13" s="319">
        <v>12582020.06</v>
      </c>
      <c r="H13" s="319">
        <v>12487697.06</v>
      </c>
      <c r="I13" s="319">
        <v>24701241.76</v>
      </c>
      <c r="J13" s="319">
        <v>24716790.91</v>
      </c>
      <c r="K13" s="319">
        <v>24716664.83</v>
      </c>
      <c r="L13" s="319">
        <v>24716499.42</v>
      </c>
      <c r="M13" s="319">
        <v>24716499.42</v>
      </c>
      <c r="N13" s="319">
        <v>24716499.42</v>
      </c>
      <c r="O13" s="319">
        <v>24652060.08</v>
      </c>
      <c r="P13" s="85">
        <f t="shared" si="0"/>
        <v>12076332.549999999</v>
      </c>
      <c r="Q13" s="87"/>
      <c r="R13" s="87"/>
      <c r="S13" s="87"/>
      <c r="T13" s="87"/>
      <c r="U13" s="87"/>
      <c r="V13" s="87"/>
      <c r="W13" s="87"/>
    </row>
    <row r="14" spans="1:23" ht="12.75">
      <c r="A14" s="318">
        <v>10600501</v>
      </c>
      <c r="B14" s="4" t="s">
        <v>121</v>
      </c>
      <c r="C14" s="319">
        <v>169044845.19</v>
      </c>
      <c r="D14" s="319">
        <v>156591254.99</v>
      </c>
      <c r="E14" s="319">
        <v>157015986.59</v>
      </c>
      <c r="F14" s="319">
        <v>158287626.79</v>
      </c>
      <c r="G14" s="319">
        <v>164463589.48</v>
      </c>
      <c r="H14" s="319">
        <v>158030543.65</v>
      </c>
      <c r="I14" s="319">
        <v>171667689.13</v>
      </c>
      <c r="J14" s="319">
        <v>175337376.51</v>
      </c>
      <c r="K14" s="319">
        <v>156411505.13</v>
      </c>
      <c r="L14" s="319">
        <v>160517822.71</v>
      </c>
      <c r="M14" s="319">
        <v>166801846.04</v>
      </c>
      <c r="N14" s="319">
        <v>75904015.92</v>
      </c>
      <c r="O14" s="319">
        <v>31282091.16</v>
      </c>
      <c r="P14" s="85">
        <f t="shared" si="0"/>
        <v>-137762754.03</v>
      </c>
      <c r="Q14" s="87"/>
      <c r="R14" s="87"/>
      <c r="S14" s="87"/>
      <c r="T14" s="87"/>
      <c r="U14" s="87"/>
      <c r="V14" s="87"/>
      <c r="W14" s="87"/>
    </row>
    <row r="15" spans="1:23" ht="12.75">
      <c r="A15" s="318">
        <v>10600502</v>
      </c>
      <c r="B15" s="4" t="s">
        <v>122</v>
      </c>
      <c r="C15" s="319">
        <v>31968524.39</v>
      </c>
      <c r="D15" s="319">
        <v>31749236</v>
      </c>
      <c r="E15" s="319">
        <v>31448102.83</v>
      </c>
      <c r="F15" s="319">
        <v>23288661.12</v>
      </c>
      <c r="G15" s="319">
        <v>21957152.71</v>
      </c>
      <c r="H15" s="319">
        <v>22220751.57</v>
      </c>
      <c r="I15" s="319">
        <v>20257567.44</v>
      </c>
      <c r="J15" s="319">
        <v>18616302.95</v>
      </c>
      <c r="K15" s="319">
        <v>13986628.69</v>
      </c>
      <c r="L15" s="319">
        <v>10389072.72</v>
      </c>
      <c r="M15" s="319">
        <v>18156257.23</v>
      </c>
      <c r="N15" s="319">
        <v>16175384.62</v>
      </c>
      <c r="O15" s="319">
        <v>19229011.52</v>
      </c>
      <c r="P15" s="85">
        <f t="shared" si="0"/>
        <v>-12739512.870000001</v>
      </c>
      <c r="Q15" s="87"/>
      <c r="R15" s="87"/>
      <c r="S15" s="87"/>
      <c r="T15" s="87"/>
      <c r="U15" s="87"/>
      <c r="V15" s="87"/>
      <c r="W15" s="87"/>
    </row>
    <row r="16" spans="1:23" ht="12.75">
      <c r="A16" s="318" t="s">
        <v>123</v>
      </c>
      <c r="B16" s="4" t="s">
        <v>124</v>
      </c>
      <c r="C16" s="319">
        <v>0</v>
      </c>
      <c r="D16" s="319">
        <v>0</v>
      </c>
      <c r="E16" s="319">
        <v>0</v>
      </c>
      <c r="F16" s="319">
        <v>0</v>
      </c>
      <c r="G16" s="319">
        <v>0</v>
      </c>
      <c r="H16" s="319">
        <v>0</v>
      </c>
      <c r="I16" s="319">
        <v>0</v>
      </c>
      <c r="J16" s="319">
        <v>0</v>
      </c>
      <c r="K16" s="319">
        <v>0</v>
      </c>
      <c r="L16" s="319">
        <v>0</v>
      </c>
      <c r="M16" s="319">
        <v>0</v>
      </c>
      <c r="N16" s="319">
        <v>0</v>
      </c>
      <c r="O16" s="319">
        <v>8311051.58</v>
      </c>
      <c r="P16" s="85">
        <f t="shared" si="0"/>
        <v>8311051.58</v>
      </c>
      <c r="Q16" s="87"/>
      <c r="R16" s="87"/>
      <c r="S16" s="87"/>
      <c r="T16" s="87"/>
      <c r="U16" s="87"/>
      <c r="V16" s="87"/>
      <c r="W16" s="87"/>
    </row>
    <row r="17" spans="1:23" ht="12.75">
      <c r="A17" s="320">
        <v>10700013</v>
      </c>
      <c r="B17" s="4" t="s">
        <v>125</v>
      </c>
      <c r="C17" s="319">
        <v>595771.03</v>
      </c>
      <c r="D17" s="319">
        <v>7810498.31</v>
      </c>
      <c r="E17" s="319">
        <v>9460106.92</v>
      </c>
      <c r="F17" s="319">
        <v>11277848.18</v>
      </c>
      <c r="G17" s="319">
        <v>11047628.38</v>
      </c>
      <c r="H17" s="319">
        <v>10710939.93</v>
      </c>
      <c r="I17" s="319">
        <v>8065683.04</v>
      </c>
      <c r="J17" s="319">
        <v>7351843.43</v>
      </c>
      <c r="K17" s="319">
        <v>7416025.88</v>
      </c>
      <c r="L17" s="319">
        <v>4463294.13</v>
      </c>
      <c r="M17" s="319">
        <v>3600726.95</v>
      </c>
      <c r="N17" s="319">
        <v>-326394.36</v>
      </c>
      <c r="O17" s="319">
        <v>-3417845.6</v>
      </c>
      <c r="P17" s="85">
        <f t="shared" si="0"/>
        <v>-4013616.63</v>
      </c>
      <c r="Q17" s="87"/>
      <c r="R17" s="87"/>
      <c r="S17" s="87"/>
      <c r="T17" s="87"/>
      <c r="U17" s="87"/>
      <c r="V17" s="87"/>
      <c r="W17" s="87"/>
    </row>
    <row r="18" spans="1:23" ht="12.75">
      <c r="A18" s="320">
        <v>10700021</v>
      </c>
      <c r="B18" s="4" t="s">
        <v>126</v>
      </c>
      <c r="C18" s="319">
        <v>67401.85</v>
      </c>
      <c r="D18" s="319">
        <v>67401.85</v>
      </c>
      <c r="E18" s="319">
        <v>67401.85</v>
      </c>
      <c r="F18" s="319">
        <v>67401.85</v>
      </c>
      <c r="G18" s="319">
        <v>67401.85</v>
      </c>
      <c r="H18" s="319">
        <v>67401.85</v>
      </c>
      <c r="I18" s="319">
        <v>67401.85</v>
      </c>
      <c r="J18" s="319">
        <v>67401.85</v>
      </c>
      <c r="K18" s="319">
        <v>67401.85</v>
      </c>
      <c r="L18" s="319">
        <v>67401.85</v>
      </c>
      <c r="M18" s="319">
        <v>67401.85</v>
      </c>
      <c r="N18" s="319">
        <v>67401.85</v>
      </c>
      <c r="O18" s="319">
        <v>0</v>
      </c>
      <c r="P18" s="85">
        <f t="shared" si="0"/>
        <v>-67401.85</v>
      </c>
      <c r="Q18" s="87"/>
      <c r="R18" s="87"/>
      <c r="S18" s="87"/>
      <c r="T18" s="87"/>
      <c r="U18" s="87"/>
      <c r="V18" s="87"/>
      <c r="W18" s="87"/>
    </row>
    <row r="19" spans="1:23" ht="12.75">
      <c r="A19" s="320">
        <v>10700022</v>
      </c>
      <c r="B19" s="4" t="s">
        <v>127</v>
      </c>
      <c r="C19" s="319">
        <v>20164.41</v>
      </c>
      <c r="D19" s="319">
        <v>20164.41</v>
      </c>
      <c r="E19" s="319">
        <v>20164.41</v>
      </c>
      <c r="F19" s="319">
        <v>20164.41</v>
      </c>
      <c r="G19" s="319">
        <v>20164.41</v>
      </c>
      <c r="H19" s="319">
        <v>20164.41</v>
      </c>
      <c r="I19" s="319">
        <v>20164.41</v>
      </c>
      <c r="J19" s="319">
        <v>20164.41</v>
      </c>
      <c r="K19" s="319">
        <v>20164.41</v>
      </c>
      <c r="L19" s="319">
        <v>20164.41</v>
      </c>
      <c r="M19" s="319">
        <v>20164.41</v>
      </c>
      <c r="N19" s="319">
        <v>20164.41</v>
      </c>
      <c r="O19" s="319">
        <v>0</v>
      </c>
      <c r="P19" s="85">
        <f t="shared" si="0"/>
        <v>-20164.41</v>
      </c>
      <c r="Q19" s="87"/>
      <c r="R19" s="87"/>
      <c r="S19" s="87"/>
      <c r="T19" s="87"/>
      <c r="U19" s="87"/>
      <c r="V19" s="87"/>
      <c r="W19" s="87"/>
    </row>
    <row r="20" spans="1:23" ht="12.75">
      <c r="A20" s="320" t="s">
        <v>272</v>
      </c>
      <c r="B20" s="4" t="s">
        <v>273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>
        <v>-393750</v>
      </c>
      <c r="P20" s="85">
        <f t="shared" si="0"/>
        <v>-393750</v>
      </c>
      <c r="Q20" s="87"/>
      <c r="R20" s="87"/>
      <c r="S20" s="87"/>
      <c r="T20" s="87"/>
      <c r="U20" s="87"/>
      <c r="V20" s="87"/>
      <c r="W20" s="87"/>
    </row>
    <row r="21" spans="1:23" ht="12.75">
      <c r="A21" s="320" t="s">
        <v>274</v>
      </c>
      <c r="B21" s="4" t="s">
        <v>275</v>
      </c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>
        <v>-1562463</v>
      </c>
      <c r="P21" s="85">
        <f t="shared" si="0"/>
        <v>-1562463</v>
      </c>
      <c r="Q21" s="87"/>
      <c r="R21" s="87"/>
      <c r="S21" s="87"/>
      <c r="T21" s="87"/>
      <c r="U21" s="87"/>
      <c r="V21" s="87"/>
      <c r="W21" s="87"/>
    </row>
    <row r="22" spans="1:23" ht="12.75">
      <c r="A22" s="320">
        <v>10700041</v>
      </c>
      <c r="B22" s="4" t="s">
        <v>128</v>
      </c>
      <c r="C22" s="319">
        <v>122114.35</v>
      </c>
      <c r="D22" s="319">
        <v>15324609.72</v>
      </c>
      <c r="E22" s="319">
        <v>15797691.01</v>
      </c>
      <c r="F22" s="319">
        <v>13865484.07</v>
      </c>
      <c r="G22" s="319">
        <v>13819361.13</v>
      </c>
      <c r="H22" s="319">
        <v>15636747.87</v>
      </c>
      <c r="I22" s="319">
        <v>13288552.98</v>
      </c>
      <c r="J22" s="319">
        <v>13417162.66</v>
      </c>
      <c r="K22" s="319">
        <v>12441461.54</v>
      </c>
      <c r="L22" s="319">
        <v>13092213.06</v>
      </c>
      <c r="M22" s="319">
        <v>14638743.12</v>
      </c>
      <c r="N22" s="319">
        <v>14417325.2</v>
      </c>
      <c r="O22" s="319">
        <v>0</v>
      </c>
      <c r="P22" s="85">
        <f t="shared" si="0"/>
        <v>-122114.35</v>
      </c>
      <c r="Q22" s="87"/>
      <c r="R22" s="87"/>
      <c r="S22" s="87"/>
      <c r="T22" s="87"/>
      <c r="U22" s="87"/>
      <c r="V22" s="87"/>
      <c r="W22" s="87"/>
    </row>
    <row r="23" spans="1:23" ht="12.75">
      <c r="A23" s="320">
        <v>10700042</v>
      </c>
      <c r="B23" s="4" t="s">
        <v>129</v>
      </c>
      <c r="C23" s="319">
        <v>878804.03</v>
      </c>
      <c r="D23" s="319">
        <v>12292836.87</v>
      </c>
      <c r="E23" s="319">
        <v>8890464.09</v>
      </c>
      <c r="F23" s="319">
        <v>8229881.17</v>
      </c>
      <c r="G23" s="319">
        <v>9952774.61</v>
      </c>
      <c r="H23" s="319">
        <v>10001499.64</v>
      </c>
      <c r="I23" s="319">
        <v>9920810.96</v>
      </c>
      <c r="J23" s="319">
        <v>11740565.09</v>
      </c>
      <c r="K23" s="319">
        <v>10269989.36</v>
      </c>
      <c r="L23" s="319">
        <v>11226299.89</v>
      </c>
      <c r="M23" s="319">
        <v>12349417.43</v>
      </c>
      <c r="N23" s="319">
        <v>13722144.12</v>
      </c>
      <c r="O23" s="319">
        <v>1189512.24</v>
      </c>
      <c r="P23" s="85">
        <f t="shared" si="0"/>
        <v>310708.20999999996</v>
      </c>
      <c r="Q23" s="87"/>
      <c r="R23" s="87"/>
      <c r="S23" s="87"/>
      <c r="T23" s="87"/>
      <c r="U23" s="87"/>
      <c r="V23" s="87"/>
      <c r="W23" s="87"/>
    </row>
    <row r="24" spans="1:23" ht="12.75">
      <c r="A24" s="318">
        <v>10700501</v>
      </c>
      <c r="B24" s="4" t="s">
        <v>130</v>
      </c>
      <c r="C24" s="319">
        <v>272004969.16</v>
      </c>
      <c r="D24" s="319">
        <v>260944303.48</v>
      </c>
      <c r="E24" s="319">
        <v>264229120.65</v>
      </c>
      <c r="F24" s="319">
        <v>275177283.17</v>
      </c>
      <c r="G24" s="319">
        <v>281844748.89</v>
      </c>
      <c r="H24" s="319">
        <v>351099630.84</v>
      </c>
      <c r="I24" s="319">
        <v>359061224.71</v>
      </c>
      <c r="J24" s="319">
        <v>377502547.6</v>
      </c>
      <c r="K24" s="319">
        <v>387870964.49</v>
      </c>
      <c r="L24" s="319">
        <v>503992006.33</v>
      </c>
      <c r="M24" s="319">
        <v>505568234.28</v>
      </c>
      <c r="N24" s="319">
        <v>515102910.49</v>
      </c>
      <c r="O24" s="319">
        <v>559640861.22</v>
      </c>
      <c r="P24" s="85">
        <f t="shared" si="0"/>
        <v>287635892.06</v>
      </c>
      <c r="Q24" s="87"/>
      <c r="R24" s="87"/>
      <c r="S24" s="87"/>
      <c r="T24" s="87"/>
      <c r="U24" s="87"/>
      <c r="V24" s="87"/>
      <c r="W24" s="87"/>
    </row>
    <row r="25" spans="1:23" ht="12.75">
      <c r="A25" s="318">
        <v>10700502</v>
      </c>
      <c r="B25" s="4" t="s">
        <v>131</v>
      </c>
      <c r="C25" s="319">
        <v>35550610.57</v>
      </c>
      <c r="D25" s="319">
        <v>24108649.53</v>
      </c>
      <c r="E25" s="319">
        <v>25796212.75</v>
      </c>
      <c r="F25" s="319">
        <v>25273965.25</v>
      </c>
      <c r="G25" s="319">
        <v>28111784.89</v>
      </c>
      <c r="H25" s="319">
        <v>26522669.6</v>
      </c>
      <c r="I25" s="319">
        <v>24863894.93</v>
      </c>
      <c r="J25" s="319">
        <v>25802373.14</v>
      </c>
      <c r="K25" s="319">
        <v>26462545.55</v>
      </c>
      <c r="L25" s="319">
        <v>27640008.93</v>
      </c>
      <c r="M25" s="319">
        <v>21097592.85</v>
      </c>
      <c r="N25" s="319">
        <v>19927614.97</v>
      </c>
      <c r="O25" s="319">
        <v>28457114.7</v>
      </c>
      <c r="P25" s="85">
        <f t="shared" si="0"/>
        <v>-7093495.870000001</v>
      </c>
      <c r="Q25" s="87"/>
      <c r="R25" s="87"/>
      <c r="S25" s="87"/>
      <c r="T25" s="87"/>
      <c r="U25" s="87"/>
      <c r="V25" s="87"/>
      <c r="W25" s="87"/>
    </row>
    <row r="26" spans="1:23" ht="12.75">
      <c r="A26" s="318">
        <v>10700503</v>
      </c>
      <c r="B26" s="4" t="s">
        <v>132</v>
      </c>
      <c r="C26" s="319">
        <v>49492436.71</v>
      </c>
      <c r="D26" s="319">
        <v>32739476.26</v>
      </c>
      <c r="E26" s="319">
        <v>32901394.65</v>
      </c>
      <c r="F26" s="319">
        <v>24409873.81</v>
      </c>
      <c r="G26" s="319">
        <v>31180899.06</v>
      </c>
      <c r="H26" s="319">
        <v>32305365.8</v>
      </c>
      <c r="I26" s="319">
        <v>32140237.2</v>
      </c>
      <c r="J26" s="319">
        <v>36240960.5</v>
      </c>
      <c r="K26" s="319">
        <v>35863573.95</v>
      </c>
      <c r="L26" s="319">
        <v>40864994.84</v>
      </c>
      <c r="M26" s="319">
        <v>43110072.04</v>
      </c>
      <c r="N26" s="319">
        <v>44029588.28</v>
      </c>
      <c r="O26" s="319">
        <v>44472513.84</v>
      </c>
      <c r="P26" s="85">
        <f t="shared" si="0"/>
        <v>-5019922.869999997</v>
      </c>
      <c r="Q26" s="87"/>
      <c r="R26" s="87"/>
      <c r="S26" s="87"/>
      <c r="T26" s="87"/>
      <c r="U26" s="87"/>
      <c r="V26" s="87"/>
      <c r="W26" s="87"/>
    </row>
    <row r="27" spans="1:23" ht="12.75">
      <c r="A27" s="320">
        <v>10800061</v>
      </c>
      <c r="B27" s="4" t="s">
        <v>133</v>
      </c>
      <c r="C27" s="319">
        <v>-44757097</v>
      </c>
      <c r="D27" s="319">
        <v>-44757097</v>
      </c>
      <c r="E27" s="319">
        <v>-44757097</v>
      </c>
      <c r="F27" s="319">
        <v>-45458689</v>
      </c>
      <c r="G27" s="319">
        <v>-45458689</v>
      </c>
      <c r="H27" s="319">
        <v>-45458689</v>
      </c>
      <c r="I27" s="319">
        <v>-42645900</v>
      </c>
      <c r="J27" s="319">
        <v>-42645900</v>
      </c>
      <c r="K27" s="319">
        <v>-42645900</v>
      </c>
      <c r="L27" s="319">
        <v>-44574842</v>
      </c>
      <c r="M27" s="319">
        <v>-44574842</v>
      </c>
      <c r="N27" s="319">
        <v>-44574842</v>
      </c>
      <c r="O27" s="319">
        <v>-42591900</v>
      </c>
      <c r="P27" s="85">
        <f t="shared" si="0"/>
        <v>2165197</v>
      </c>
      <c r="Q27" s="87"/>
      <c r="R27" s="87"/>
      <c r="S27" s="87"/>
      <c r="T27" s="87"/>
      <c r="U27" s="87"/>
      <c r="V27" s="87"/>
      <c r="W27" s="87"/>
    </row>
    <row r="28" spans="1:23" ht="12.75">
      <c r="A28" s="320">
        <v>10800062</v>
      </c>
      <c r="B28" s="4" t="s">
        <v>133</v>
      </c>
      <c r="C28" s="319">
        <v>-128613199</v>
      </c>
      <c r="D28" s="319">
        <v>-128613199</v>
      </c>
      <c r="E28" s="319">
        <v>-128613199</v>
      </c>
      <c r="F28" s="319">
        <v>-135923473</v>
      </c>
      <c r="G28" s="319">
        <v>-135923473</v>
      </c>
      <c r="H28" s="319">
        <v>-135923473</v>
      </c>
      <c r="I28" s="319">
        <v>-141012892</v>
      </c>
      <c r="J28" s="319">
        <v>-141012892</v>
      </c>
      <c r="K28" s="319">
        <v>-141012892</v>
      </c>
      <c r="L28" s="319">
        <v>-146154090</v>
      </c>
      <c r="M28" s="319">
        <v>-146154090</v>
      </c>
      <c r="N28" s="319">
        <v>-146154090</v>
      </c>
      <c r="O28" s="319">
        <v>-151173151</v>
      </c>
      <c r="P28" s="85">
        <f t="shared" si="0"/>
        <v>-22559952</v>
      </c>
      <c r="Q28" s="87"/>
      <c r="R28" s="87"/>
      <c r="S28" s="87"/>
      <c r="T28" s="87"/>
      <c r="U28" s="87"/>
      <c r="V28" s="87"/>
      <c r="W28" s="87"/>
    </row>
    <row r="29" spans="1:23" ht="12.75">
      <c r="A29" s="320">
        <v>10800071</v>
      </c>
      <c r="B29" s="4" t="s">
        <v>134</v>
      </c>
      <c r="C29" s="319">
        <v>44757097</v>
      </c>
      <c r="D29" s="319">
        <v>44757097</v>
      </c>
      <c r="E29" s="319">
        <v>44757097</v>
      </c>
      <c r="F29" s="319">
        <v>45458689</v>
      </c>
      <c r="G29" s="319">
        <v>45458689</v>
      </c>
      <c r="H29" s="319">
        <v>45458689</v>
      </c>
      <c r="I29" s="319">
        <v>42645900</v>
      </c>
      <c r="J29" s="319">
        <v>42645900</v>
      </c>
      <c r="K29" s="319">
        <v>42645900</v>
      </c>
      <c r="L29" s="319">
        <v>44574842</v>
      </c>
      <c r="M29" s="319">
        <v>44574842</v>
      </c>
      <c r="N29" s="319">
        <v>44574842</v>
      </c>
      <c r="O29" s="319">
        <v>42591900</v>
      </c>
      <c r="P29" s="85">
        <f t="shared" si="0"/>
        <v>-2165197</v>
      </c>
      <c r="Q29" s="87"/>
      <c r="R29" s="87"/>
      <c r="S29" s="87"/>
      <c r="T29" s="87"/>
      <c r="U29" s="87"/>
      <c r="V29" s="87"/>
      <c r="W29" s="87"/>
    </row>
    <row r="30" spans="1:23" ht="12.75">
      <c r="A30" s="320">
        <v>10800072</v>
      </c>
      <c r="B30" s="4" t="s">
        <v>134</v>
      </c>
      <c r="C30" s="319">
        <v>128613199</v>
      </c>
      <c r="D30" s="319">
        <v>128613199</v>
      </c>
      <c r="E30" s="319">
        <v>128613199</v>
      </c>
      <c r="F30" s="319">
        <v>135923473</v>
      </c>
      <c r="G30" s="319">
        <v>135923473</v>
      </c>
      <c r="H30" s="319">
        <v>135923473</v>
      </c>
      <c r="I30" s="319">
        <v>141012892</v>
      </c>
      <c r="J30" s="319">
        <v>141012892</v>
      </c>
      <c r="K30" s="319">
        <v>141012892</v>
      </c>
      <c r="L30" s="319">
        <v>146154090</v>
      </c>
      <c r="M30" s="319">
        <v>146154090</v>
      </c>
      <c r="N30" s="319">
        <v>146154090</v>
      </c>
      <c r="O30" s="319">
        <v>151173151</v>
      </c>
      <c r="P30" s="85">
        <f t="shared" si="0"/>
        <v>22559952</v>
      </c>
      <c r="Q30" s="87"/>
      <c r="R30" s="87"/>
      <c r="S30" s="87"/>
      <c r="T30" s="87"/>
      <c r="U30" s="87"/>
      <c r="V30" s="87"/>
      <c r="W30" s="87"/>
    </row>
    <row r="31" spans="1:23" ht="12.75">
      <c r="A31" s="320">
        <v>10800501</v>
      </c>
      <c r="B31" s="4" t="s">
        <v>135</v>
      </c>
      <c r="C31" s="319">
        <v>-2480587191.32</v>
      </c>
      <c r="D31" s="319">
        <v>-2514471488.03</v>
      </c>
      <c r="E31" s="319">
        <v>-2525772542.84</v>
      </c>
      <c r="F31" s="319">
        <v>-2542276451.79</v>
      </c>
      <c r="G31" s="319">
        <v>-2553878257.87</v>
      </c>
      <c r="H31" s="319">
        <v>-2563015923.79</v>
      </c>
      <c r="I31" s="319">
        <v>-2573347758.67</v>
      </c>
      <c r="J31" s="319">
        <v>-2573431606.71</v>
      </c>
      <c r="K31" s="319">
        <v>-2585185304.98</v>
      </c>
      <c r="L31" s="319">
        <v>-2596539987.83</v>
      </c>
      <c r="M31" s="319">
        <v>-2605675022.43</v>
      </c>
      <c r="N31" s="319">
        <v>-2603633298.9</v>
      </c>
      <c r="O31" s="319">
        <v>-2607399959.32</v>
      </c>
      <c r="P31" s="85">
        <f t="shared" si="0"/>
        <v>-126812768</v>
      </c>
      <c r="Q31" s="87"/>
      <c r="R31" s="87"/>
      <c r="S31" s="87"/>
      <c r="T31" s="87"/>
      <c r="U31" s="87"/>
      <c r="V31" s="87"/>
      <c r="W31" s="87"/>
    </row>
    <row r="32" spans="1:23" ht="12.75">
      <c r="A32" s="320">
        <v>10800502</v>
      </c>
      <c r="B32" s="4" t="s">
        <v>136</v>
      </c>
      <c r="C32" s="319">
        <v>-809173354.05</v>
      </c>
      <c r="D32" s="319">
        <v>-815332564.36</v>
      </c>
      <c r="E32" s="319">
        <v>-819668302.89</v>
      </c>
      <c r="F32" s="319">
        <v>-831724886.23</v>
      </c>
      <c r="G32" s="319">
        <v>-838074058.89</v>
      </c>
      <c r="H32" s="319">
        <v>-844720865.88</v>
      </c>
      <c r="I32" s="319">
        <v>-852018096.4</v>
      </c>
      <c r="J32" s="319">
        <v>-858992072.89</v>
      </c>
      <c r="K32" s="319">
        <v>-865659172.74</v>
      </c>
      <c r="L32" s="319">
        <v>-872590147.56</v>
      </c>
      <c r="M32" s="319">
        <v>-877357268.15</v>
      </c>
      <c r="N32" s="319">
        <v>-883969126.3</v>
      </c>
      <c r="O32" s="319">
        <v>-883019686.81</v>
      </c>
      <c r="P32" s="85">
        <f t="shared" si="0"/>
        <v>-73846332.75999999</v>
      </c>
      <c r="Q32" s="87"/>
      <c r="R32" s="87"/>
      <c r="S32" s="87"/>
      <c r="T32" s="87"/>
      <c r="U32" s="87"/>
      <c r="V32" s="87"/>
      <c r="W32" s="87"/>
    </row>
    <row r="33" spans="1:23" ht="12.75">
      <c r="A33" s="320">
        <v>10800503</v>
      </c>
      <c r="B33" s="4" t="s">
        <v>137</v>
      </c>
      <c r="C33" s="319">
        <v>-22726763.06</v>
      </c>
      <c r="D33" s="319">
        <v>-13599341.25</v>
      </c>
      <c r="E33" s="319">
        <v>-15000988.48</v>
      </c>
      <c r="F33" s="319">
        <v>-27425935.93</v>
      </c>
      <c r="G33" s="319">
        <v>-30588699.11</v>
      </c>
      <c r="H33" s="319">
        <v>-32001899.69</v>
      </c>
      <c r="I33" s="319">
        <v>-33651367.13</v>
      </c>
      <c r="J33" s="319">
        <v>-35266954.52</v>
      </c>
      <c r="K33" s="319">
        <v>-36922067.61</v>
      </c>
      <c r="L33" s="319">
        <v>-38686501.44</v>
      </c>
      <c r="M33" s="319">
        <v>-40425522.63</v>
      </c>
      <c r="N33" s="319">
        <v>-42287581.95</v>
      </c>
      <c r="O33" s="319">
        <v>-44372021.52</v>
      </c>
      <c r="P33" s="85">
        <f t="shared" si="0"/>
        <v>-21645258.460000005</v>
      </c>
      <c r="Q33" s="87"/>
      <c r="R33" s="87"/>
      <c r="S33" s="87"/>
      <c r="T33" s="87"/>
      <c r="U33" s="87"/>
      <c r="V33" s="87"/>
      <c r="W33" s="87"/>
    </row>
    <row r="34" spans="1:23" ht="12.75">
      <c r="A34" s="320">
        <v>10800541</v>
      </c>
      <c r="B34" s="4" t="s">
        <v>138</v>
      </c>
      <c r="C34" s="319">
        <v>7500017.75</v>
      </c>
      <c r="D34" s="319">
        <v>7766329.61</v>
      </c>
      <c r="E34" s="319">
        <v>6332009.14</v>
      </c>
      <c r="F34" s="319">
        <v>4550981.7</v>
      </c>
      <c r="G34" s="319">
        <v>5153281.94</v>
      </c>
      <c r="H34" s="319">
        <v>8015595.46</v>
      </c>
      <c r="I34" s="319">
        <v>7614645.24</v>
      </c>
      <c r="J34" s="319">
        <v>7200293.64</v>
      </c>
      <c r="K34" s="319">
        <v>6733958.8</v>
      </c>
      <c r="L34" s="319">
        <v>7658974.99</v>
      </c>
      <c r="M34" s="319">
        <v>8018113.91</v>
      </c>
      <c r="N34" s="319">
        <v>8738948.64</v>
      </c>
      <c r="O34" s="319">
        <v>8630340.23</v>
      </c>
      <c r="P34" s="85">
        <f t="shared" si="0"/>
        <v>1130322.4800000004</v>
      </c>
      <c r="Q34" s="87"/>
      <c r="R34" s="87"/>
      <c r="S34" s="87"/>
      <c r="T34" s="87"/>
      <c r="U34" s="87"/>
      <c r="V34" s="87"/>
      <c r="W34" s="87"/>
    </row>
    <row r="35" spans="1:23" ht="12.75">
      <c r="A35" s="320">
        <v>10800543</v>
      </c>
      <c r="B35" s="4" t="s">
        <v>139</v>
      </c>
      <c r="C35" s="319">
        <v>277801.62</v>
      </c>
      <c r="D35" s="319">
        <v>37024.6</v>
      </c>
      <c r="E35" s="319">
        <v>38350.09</v>
      </c>
      <c r="F35" s="319">
        <v>227707.29</v>
      </c>
      <c r="G35" s="319">
        <v>229400.99</v>
      </c>
      <c r="H35" s="319">
        <v>40054.03</v>
      </c>
      <c r="I35" s="319">
        <v>57038.45</v>
      </c>
      <c r="J35" s="319">
        <v>43204.47</v>
      </c>
      <c r="K35" s="319">
        <v>43204.47</v>
      </c>
      <c r="L35" s="319">
        <v>46704.95</v>
      </c>
      <c r="M35" s="319">
        <v>46810.55</v>
      </c>
      <c r="N35" s="319">
        <v>47505.88</v>
      </c>
      <c r="O35" s="319">
        <v>49947.22</v>
      </c>
      <c r="P35" s="85">
        <f t="shared" si="0"/>
        <v>-227854.4</v>
      </c>
      <c r="Q35" s="87"/>
      <c r="R35" s="87"/>
      <c r="S35" s="87"/>
      <c r="T35" s="87"/>
      <c r="U35" s="87"/>
      <c r="V35" s="87"/>
      <c r="W35" s="87"/>
    </row>
    <row r="36" spans="1:23" ht="12.75">
      <c r="A36" s="320">
        <v>10800552</v>
      </c>
      <c r="B36" s="4" t="s">
        <v>140</v>
      </c>
      <c r="C36" s="319">
        <v>1024996.39</v>
      </c>
      <c r="D36" s="319">
        <v>759757.52</v>
      </c>
      <c r="E36" s="319">
        <v>1020545.69</v>
      </c>
      <c r="F36" s="319">
        <v>1145932.1</v>
      </c>
      <c r="G36" s="319">
        <v>783389.15</v>
      </c>
      <c r="H36" s="319">
        <v>642825.53</v>
      </c>
      <c r="I36" s="319">
        <v>732667.77</v>
      </c>
      <c r="J36" s="319">
        <v>701463.53</v>
      </c>
      <c r="K36" s="319">
        <v>903257.82</v>
      </c>
      <c r="L36" s="319">
        <v>956986.01</v>
      </c>
      <c r="M36" s="319">
        <v>731226.45</v>
      </c>
      <c r="N36" s="319">
        <v>789298.98</v>
      </c>
      <c r="O36" s="319">
        <v>1269062.32</v>
      </c>
      <c r="P36" s="85">
        <f t="shared" si="0"/>
        <v>244065.93000000005</v>
      </c>
      <c r="Q36" s="87"/>
      <c r="R36" s="87"/>
      <c r="S36" s="87"/>
      <c r="T36" s="87"/>
      <c r="U36" s="87"/>
      <c r="V36" s="87"/>
      <c r="W36" s="87"/>
    </row>
    <row r="37" spans="1:23" ht="12.75">
      <c r="A37" s="318">
        <v>11100501</v>
      </c>
      <c r="B37" s="4" t="s">
        <v>141</v>
      </c>
      <c r="C37" s="319">
        <v>-11585595.26</v>
      </c>
      <c r="D37" s="319">
        <v>-12026707.01</v>
      </c>
      <c r="E37" s="319">
        <v>-12386169.24</v>
      </c>
      <c r="F37" s="319">
        <v>-12747201.15</v>
      </c>
      <c r="G37" s="319">
        <v>-12671707.71</v>
      </c>
      <c r="H37" s="319">
        <v>-12867294.03</v>
      </c>
      <c r="I37" s="319">
        <v>-13215818.45</v>
      </c>
      <c r="J37" s="319">
        <v>-13565890.64</v>
      </c>
      <c r="K37" s="319">
        <v>-13478821.48</v>
      </c>
      <c r="L37" s="319">
        <v>-13999093.89</v>
      </c>
      <c r="M37" s="319">
        <v>-14353972.46</v>
      </c>
      <c r="N37" s="319">
        <v>-14375813.59</v>
      </c>
      <c r="O37" s="319">
        <v>-14744561.5</v>
      </c>
      <c r="P37" s="85">
        <f t="shared" si="0"/>
        <v>-3158966.24</v>
      </c>
      <c r="Q37" s="87"/>
      <c r="R37" s="87"/>
      <c r="S37" s="87"/>
      <c r="T37" s="87"/>
      <c r="U37" s="87"/>
      <c r="V37" s="87"/>
      <c r="W37" s="87"/>
    </row>
    <row r="38" spans="1:23" ht="12.75">
      <c r="A38" s="318">
        <v>11100502</v>
      </c>
      <c r="B38" s="4" t="s">
        <v>142</v>
      </c>
      <c r="C38" s="319">
        <v>-11113978.73</v>
      </c>
      <c r="D38" s="319">
        <v>-11090516.11</v>
      </c>
      <c r="E38" s="319">
        <v>-11180713.48</v>
      </c>
      <c r="F38" s="319">
        <v>-6867337.04</v>
      </c>
      <c r="G38" s="319">
        <v>-6951985.41</v>
      </c>
      <c r="H38" s="319">
        <v>-7042115.9</v>
      </c>
      <c r="I38" s="319">
        <v>-7132121.55</v>
      </c>
      <c r="J38" s="319">
        <v>-7221997.55</v>
      </c>
      <c r="K38" s="319">
        <v>-7318491.19</v>
      </c>
      <c r="L38" s="319">
        <v>-7442321.55</v>
      </c>
      <c r="M38" s="319">
        <v>-7568479.62</v>
      </c>
      <c r="N38" s="319">
        <v>-7695914.77</v>
      </c>
      <c r="O38" s="319">
        <v>-7798339.3</v>
      </c>
      <c r="P38" s="85">
        <f t="shared" si="0"/>
        <v>3315639.4300000006</v>
      </c>
      <c r="Q38" s="87"/>
      <c r="R38" s="87"/>
      <c r="S38" s="87"/>
      <c r="T38" s="87"/>
      <c r="U38" s="87"/>
      <c r="V38" s="87"/>
      <c r="W38" s="87"/>
    </row>
    <row r="39" spans="1:23" ht="12.75">
      <c r="A39" s="318">
        <v>11100503</v>
      </c>
      <c r="B39" s="4" t="s">
        <v>143</v>
      </c>
      <c r="C39" s="319">
        <v>-249619378.38</v>
      </c>
      <c r="D39" s="319">
        <v>-251683171.13</v>
      </c>
      <c r="E39" s="319">
        <v>-253599760.94</v>
      </c>
      <c r="F39" s="319">
        <v>-249858641.09</v>
      </c>
      <c r="G39" s="319">
        <v>-253709309.23</v>
      </c>
      <c r="H39" s="319">
        <v>-255898210.95</v>
      </c>
      <c r="I39" s="319">
        <v>-108614564.21</v>
      </c>
      <c r="J39" s="319">
        <v>-89634588.63</v>
      </c>
      <c r="K39" s="319">
        <v>-88453913.41</v>
      </c>
      <c r="L39" s="319">
        <v>-89374881.22</v>
      </c>
      <c r="M39" s="319">
        <v>-90670068.94</v>
      </c>
      <c r="N39" s="319">
        <v>-93176076.85</v>
      </c>
      <c r="O39" s="319">
        <v>-95534225.14</v>
      </c>
      <c r="P39" s="85">
        <f t="shared" si="0"/>
        <v>154085153.24</v>
      </c>
      <c r="Q39" s="87"/>
      <c r="R39" s="87"/>
      <c r="S39" s="87"/>
      <c r="T39" s="87"/>
      <c r="U39" s="87"/>
      <c r="V39" s="87"/>
      <c r="W39" s="87"/>
    </row>
    <row r="40" spans="1:23" ht="12.75">
      <c r="A40" s="320">
        <v>11400001</v>
      </c>
      <c r="B40" s="4" t="s">
        <v>144</v>
      </c>
      <c r="C40" s="319">
        <v>946172.25</v>
      </c>
      <c r="D40" s="319">
        <v>946172.25</v>
      </c>
      <c r="E40" s="319">
        <v>946172.25</v>
      </c>
      <c r="F40" s="319">
        <v>946172.25</v>
      </c>
      <c r="G40" s="319">
        <v>946172.25</v>
      </c>
      <c r="H40" s="319">
        <v>946172.25</v>
      </c>
      <c r="I40" s="319">
        <v>946172.25</v>
      </c>
      <c r="J40" s="319">
        <v>946172.25</v>
      </c>
      <c r="K40" s="319">
        <v>946172.25</v>
      </c>
      <c r="L40" s="319">
        <v>946172.25</v>
      </c>
      <c r="M40" s="319">
        <v>946172.25</v>
      </c>
      <c r="N40" s="319">
        <v>946172.25</v>
      </c>
      <c r="O40" s="319">
        <v>946172.25</v>
      </c>
      <c r="P40" s="85">
        <f t="shared" si="0"/>
        <v>0</v>
      </c>
      <c r="Q40" s="87"/>
      <c r="R40" s="87"/>
      <c r="S40" s="87"/>
      <c r="T40" s="87"/>
      <c r="U40" s="87"/>
      <c r="V40" s="87"/>
      <c r="W40" s="87"/>
    </row>
    <row r="41" spans="1:23" ht="12.75">
      <c r="A41" s="320">
        <v>11400011</v>
      </c>
      <c r="B41" s="4" t="s">
        <v>145</v>
      </c>
      <c r="C41" s="319">
        <v>302358.01</v>
      </c>
      <c r="D41" s="319">
        <v>302358.01</v>
      </c>
      <c r="E41" s="319">
        <v>302358.01</v>
      </c>
      <c r="F41" s="319">
        <v>302358.01</v>
      </c>
      <c r="G41" s="319">
        <v>302358.01</v>
      </c>
      <c r="H41" s="319">
        <v>302358.01</v>
      </c>
      <c r="I41" s="319">
        <v>302358.01</v>
      </c>
      <c r="J41" s="319">
        <v>302358.01</v>
      </c>
      <c r="K41" s="319">
        <v>302358.01</v>
      </c>
      <c r="L41" s="319">
        <v>302358.01</v>
      </c>
      <c r="M41" s="319">
        <v>302358.01</v>
      </c>
      <c r="N41" s="319">
        <v>302358.01</v>
      </c>
      <c r="O41" s="319">
        <v>302358.01</v>
      </c>
      <c r="P41" s="85">
        <f t="shared" si="0"/>
        <v>0</v>
      </c>
      <c r="Q41" s="87"/>
      <c r="R41" s="87"/>
      <c r="S41" s="87"/>
      <c r="T41" s="87"/>
      <c r="U41" s="87"/>
      <c r="V41" s="87"/>
      <c r="W41" s="87"/>
    </row>
    <row r="42" spans="1:23" ht="12.75">
      <c r="A42" s="320">
        <v>11400031</v>
      </c>
      <c r="B42" s="4" t="s">
        <v>146</v>
      </c>
      <c r="C42" s="319">
        <v>76622596.84</v>
      </c>
      <c r="D42" s="319">
        <v>76622596.84</v>
      </c>
      <c r="E42" s="319">
        <v>76622596.84</v>
      </c>
      <c r="F42" s="319">
        <v>76622596.84</v>
      </c>
      <c r="G42" s="319">
        <v>76622596.84</v>
      </c>
      <c r="H42" s="319">
        <v>76622596.84</v>
      </c>
      <c r="I42" s="319">
        <v>76622596.84</v>
      </c>
      <c r="J42" s="319">
        <v>76622596.84</v>
      </c>
      <c r="K42" s="319">
        <v>76622596.84</v>
      </c>
      <c r="L42" s="319">
        <v>76622596.84</v>
      </c>
      <c r="M42" s="319">
        <v>76622596.84</v>
      </c>
      <c r="N42" s="319">
        <v>76622596.84</v>
      </c>
      <c r="O42" s="319">
        <v>76622596.84</v>
      </c>
      <c r="P42" s="85">
        <f t="shared" si="0"/>
        <v>0</v>
      </c>
      <c r="Q42" s="87"/>
      <c r="R42" s="87"/>
      <c r="S42" s="87"/>
      <c r="T42" s="87"/>
      <c r="U42" s="87"/>
      <c r="V42" s="87"/>
      <c r="W42" s="87"/>
    </row>
    <row r="43" spans="1:23" ht="12.75">
      <c r="A43" s="320">
        <v>11400061</v>
      </c>
      <c r="B43" s="4" t="s">
        <v>147</v>
      </c>
      <c r="C43" s="319">
        <v>156871211.29</v>
      </c>
      <c r="D43" s="319">
        <v>156907279.38</v>
      </c>
      <c r="E43" s="319">
        <v>156957158.64</v>
      </c>
      <c r="F43" s="319">
        <v>156955645.98</v>
      </c>
      <c r="G43" s="319">
        <v>156960939.9</v>
      </c>
      <c r="H43" s="319">
        <v>156960939.9</v>
      </c>
      <c r="I43" s="319">
        <v>156960790.84</v>
      </c>
      <c r="J43" s="319">
        <v>156960790.84</v>
      </c>
      <c r="K43" s="319">
        <v>156960790.84</v>
      </c>
      <c r="L43" s="319">
        <v>156960790.84</v>
      </c>
      <c r="M43" s="319">
        <v>156960790.84</v>
      </c>
      <c r="N43" s="319">
        <v>156960790.84</v>
      </c>
      <c r="O43" s="319">
        <v>156960790.84</v>
      </c>
      <c r="P43" s="85">
        <f t="shared" si="0"/>
        <v>89579.55000001192</v>
      </c>
      <c r="Q43" s="87"/>
      <c r="R43" s="87"/>
      <c r="S43" s="87"/>
      <c r="T43" s="87"/>
      <c r="U43" s="87"/>
      <c r="V43" s="87"/>
      <c r="W43" s="87"/>
    </row>
    <row r="44" spans="1:23" ht="12.75">
      <c r="A44" s="321" t="s">
        <v>148</v>
      </c>
      <c r="B44" s="322" t="s">
        <v>149</v>
      </c>
      <c r="C44" s="319">
        <v>16950332.9</v>
      </c>
      <c r="D44" s="319">
        <v>16950332.9</v>
      </c>
      <c r="E44" s="319">
        <v>16950332.9</v>
      </c>
      <c r="F44" s="319">
        <v>16950332.9</v>
      </c>
      <c r="G44" s="319">
        <v>16950332.9</v>
      </c>
      <c r="H44" s="319">
        <v>16950332.9</v>
      </c>
      <c r="I44" s="319">
        <v>16950332.9</v>
      </c>
      <c r="J44" s="319">
        <v>16950332.9</v>
      </c>
      <c r="K44" s="319">
        <v>16950332.9</v>
      </c>
      <c r="L44" s="319">
        <v>16950332.9</v>
      </c>
      <c r="M44" s="319">
        <v>16950332.9</v>
      </c>
      <c r="N44" s="319">
        <v>16950332.9</v>
      </c>
      <c r="O44" s="319">
        <v>16950332.9</v>
      </c>
      <c r="P44" s="85">
        <f t="shared" si="0"/>
        <v>0</v>
      </c>
      <c r="Q44" s="87"/>
      <c r="R44" s="87"/>
      <c r="S44" s="87"/>
      <c r="T44" s="87"/>
      <c r="U44" s="87"/>
      <c r="V44" s="87"/>
      <c r="W44" s="87"/>
    </row>
    <row r="45" spans="1:23" ht="12.75">
      <c r="A45" s="320">
        <v>11500001</v>
      </c>
      <c r="B45" s="4" t="s">
        <v>150</v>
      </c>
      <c r="C45" s="319">
        <v>-718989</v>
      </c>
      <c r="D45" s="319">
        <v>-721139</v>
      </c>
      <c r="E45" s="319">
        <v>-723289</v>
      </c>
      <c r="F45" s="319">
        <v>-725439</v>
      </c>
      <c r="G45" s="319">
        <v>-727589</v>
      </c>
      <c r="H45" s="319">
        <v>-729739</v>
      </c>
      <c r="I45" s="319">
        <v>-731889</v>
      </c>
      <c r="J45" s="319">
        <v>-734039</v>
      </c>
      <c r="K45" s="319">
        <v>-736189</v>
      </c>
      <c r="L45" s="319">
        <v>-738339</v>
      </c>
      <c r="M45" s="319">
        <v>-740489</v>
      </c>
      <c r="N45" s="319">
        <v>-742639</v>
      </c>
      <c r="O45" s="319">
        <v>-744789</v>
      </c>
      <c r="P45" s="85">
        <f t="shared" si="0"/>
        <v>-25800</v>
      </c>
      <c r="Q45" s="87"/>
      <c r="R45" s="87"/>
      <c r="S45" s="87"/>
      <c r="T45" s="87"/>
      <c r="U45" s="87"/>
      <c r="V45" s="87"/>
      <c r="W45" s="87"/>
    </row>
    <row r="46" spans="1:23" ht="12.75">
      <c r="A46" s="320">
        <v>11500011</v>
      </c>
      <c r="B46" s="4" t="s">
        <v>151</v>
      </c>
      <c r="C46" s="319">
        <v>-282799</v>
      </c>
      <c r="D46" s="319">
        <v>-283732.33</v>
      </c>
      <c r="E46" s="319">
        <v>-284665.66</v>
      </c>
      <c r="F46" s="319">
        <v>-285598.99</v>
      </c>
      <c r="G46" s="319">
        <v>-286532.32</v>
      </c>
      <c r="H46" s="319">
        <v>-287465.65</v>
      </c>
      <c r="I46" s="319">
        <v>-288398.98</v>
      </c>
      <c r="J46" s="319">
        <v>-289332.31</v>
      </c>
      <c r="K46" s="319">
        <v>-290265.64</v>
      </c>
      <c r="L46" s="319">
        <v>-291198.97</v>
      </c>
      <c r="M46" s="319">
        <v>-292132.3</v>
      </c>
      <c r="N46" s="319">
        <v>-293065.63</v>
      </c>
      <c r="O46" s="319">
        <v>-293998.96</v>
      </c>
      <c r="P46" s="85">
        <f t="shared" si="0"/>
        <v>-11199.960000000021</v>
      </c>
      <c r="Q46" s="87"/>
      <c r="R46" s="87"/>
      <c r="S46" s="87"/>
      <c r="T46" s="87"/>
      <c r="U46" s="87"/>
      <c r="V46" s="87"/>
      <c r="W46" s="87"/>
    </row>
    <row r="47" spans="1:23" ht="12.75">
      <c r="A47" s="320">
        <v>11500031</v>
      </c>
      <c r="B47" s="4" t="s">
        <v>152</v>
      </c>
      <c r="C47" s="319">
        <v>-42577038.66</v>
      </c>
      <c r="D47" s="319">
        <v>-42798113.66</v>
      </c>
      <c r="E47" s="319">
        <v>-43019188.66</v>
      </c>
      <c r="F47" s="319">
        <v>-43240263.66</v>
      </c>
      <c r="G47" s="319">
        <v>-43461338.66</v>
      </c>
      <c r="H47" s="319">
        <v>-43682413.66</v>
      </c>
      <c r="I47" s="319">
        <v>-43903488.66</v>
      </c>
      <c r="J47" s="319">
        <v>-44124563.66</v>
      </c>
      <c r="K47" s="319">
        <v>-44345638.66</v>
      </c>
      <c r="L47" s="319">
        <v>-44566713.66</v>
      </c>
      <c r="M47" s="319">
        <v>-44787788.66</v>
      </c>
      <c r="N47" s="319">
        <v>-45008863.66</v>
      </c>
      <c r="O47" s="319">
        <v>-45229938.66</v>
      </c>
      <c r="P47" s="85">
        <f t="shared" si="0"/>
        <v>-2652900</v>
      </c>
      <c r="Q47" s="87"/>
      <c r="R47" s="87"/>
      <c r="S47" s="87"/>
      <c r="T47" s="87"/>
      <c r="U47" s="87"/>
      <c r="V47" s="87"/>
      <c r="W47" s="87"/>
    </row>
    <row r="48" spans="1:23" ht="12.75">
      <c r="A48" s="320" t="s">
        <v>153</v>
      </c>
      <c r="B48" s="4" t="s">
        <v>154</v>
      </c>
      <c r="C48" s="319">
        <v>-4868295.64</v>
      </c>
      <c r="D48" s="319">
        <v>-5252872.77</v>
      </c>
      <c r="E48" s="319">
        <v>-5637572.15</v>
      </c>
      <c r="F48" s="319">
        <v>-6022267.82</v>
      </c>
      <c r="G48" s="319">
        <v>-6406976.47</v>
      </c>
      <c r="H48" s="319">
        <v>-6791685.12</v>
      </c>
      <c r="I48" s="319">
        <v>-7176393.4</v>
      </c>
      <c r="J48" s="319">
        <v>-7561101.68</v>
      </c>
      <c r="K48" s="319">
        <v>-7945809.96</v>
      </c>
      <c r="L48" s="319">
        <v>-8330518.24</v>
      </c>
      <c r="M48" s="319">
        <v>-8715226.52</v>
      </c>
      <c r="N48" s="319">
        <v>-9099934.8</v>
      </c>
      <c r="O48" s="319">
        <v>-9484643.08</v>
      </c>
      <c r="P48" s="85">
        <f t="shared" si="0"/>
        <v>-4616347.44</v>
      </c>
      <c r="Q48" s="87"/>
      <c r="R48" s="87"/>
      <c r="S48" s="87"/>
      <c r="T48" s="87"/>
      <c r="U48" s="87"/>
      <c r="V48" s="87"/>
      <c r="W48" s="87"/>
    </row>
    <row r="49" spans="1:23" ht="12.75">
      <c r="A49" s="321" t="s">
        <v>155</v>
      </c>
      <c r="B49" s="322" t="s">
        <v>156</v>
      </c>
      <c r="C49" s="319">
        <v>-2084268.61</v>
      </c>
      <c r="D49" s="319">
        <v>-2274677.35</v>
      </c>
      <c r="E49" s="319">
        <v>-2465086.09</v>
      </c>
      <c r="F49" s="319">
        <v>-2655494.83</v>
      </c>
      <c r="G49" s="319">
        <v>-2845903.57</v>
      </c>
      <c r="H49" s="319">
        <v>-3036312.31</v>
      </c>
      <c r="I49" s="319">
        <v>-3226721.05</v>
      </c>
      <c r="J49" s="319">
        <v>-3417129.79</v>
      </c>
      <c r="K49" s="319">
        <v>-3607538.53</v>
      </c>
      <c r="L49" s="319">
        <v>-3797947.27</v>
      </c>
      <c r="M49" s="319">
        <v>-3988356.01</v>
      </c>
      <c r="N49" s="319">
        <v>-4178764.75</v>
      </c>
      <c r="O49" s="319">
        <v>-4369173.49</v>
      </c>
      <c r="P49" s="85">
        <f t="shared" si="0"/>
        <v>-2284904.88</v>
      </c>
      <c r="Q49" s="87"/>
      <c r="R49" s="87"/>
      <c r="S49" s="87"/>
      <c r="T49" s="87"/>
      <c r="U49" s="87"/>
      <c r="V49" s="87"/>
      <c r="W49" s="87"/>
    </row>
    <row r="50" spans="1:23" ht="12.75">
      <c r="A50" s="320">
        <v>11730002</v>
      </c>
      <c r="B50" s="4" t="s">
        <v>157</v>
      </c>
      <c r="C50" s="319">
        <v>7529405.16</v>
      </c>
      <c r="D50" s="319">
        <v>7592439.99</v>
      </c>
      <c r="E50" s="319">
        <v>7643358.62</v>
      </c>
      <c r="F50" s="319">
        <v>7688947.18</v>
      </c>
      <c r="G50" s="319">
        <v>7734752.99</v>
      </c>
      <c r="H50" s="319">
        <v>7780048.1</v>
      </c>
      <c r="I50" s="319">
        <v>7821628.38</v>
      </c>
      <c r="J50" s="319">
        <v>7866097.01</v>
      </c>
      <c r="K50" s="319">
        <v>7912096.44</v>
      </c>
      <c r="L50" s="319">
        <v>7954296.88</v>
      </c>
      <c r="M50" s="319">
        <v>7985203.04</v>
      </c>
      <c r="N50" s="319">
        <v>8013225.93</v>
      </c>
      <c r="O50" s="319">
        <v>8057045.17</v>
      </c>
      <c r="P50" s="85">
        <f t="shared" si="0"/>
        <v>527640.0099999998</v>
      </c>
      <c r="Q50" s="87"/>
      <c r="R50" s="87"/>
      <c r="S50" s="87"/>
      <c r="T50" s="87"/>
      <c r="U50" s="87"/>
      <c r="V50" s="87"/>
      <c r="W50" s="87"/>
    </row>
    <row r="51" spans="2:23" ht="12.75">
      <c r="B51" s="99" t="s">
        <v>17</v>
      </c>
      <c r="C51" s="323">
        <f>SUM(C6:C50)</f>
        <v>6596143055.610001</v>
      </c>
      <c r="D51" s="323">
        <f aca="true" t="shared" si="1" ref="D51:O51">SUM(D6:D50)</f>
        <v>6590267531.229999</v>
      </c>
      <c r="E51" s="323">
        <f t="shared" si="1"/>
        <v>6592239199.250004</v>
      </c>
      <c r="F51" s="323">
        <f t="shared" si="1"/>
        <v>6610645009.600003</v>
      </c>
      <c r="G51" s="323">
        <f t="shared" si="1"/>
        <v>6627184562.589994</v>
      </c>
      <c r="H51" s="323">
        <f t="shared" si="1"/>
        <v>6697186401.42</v>
      </c>
      <c r="I51" s="323">
        <f t="shared" si="1"/>
        <v>6775293016.22</v>
      </c>
      <c r="J51" s="323">
        <f t="shared" si="1"/>
        <v>6798875650.1</v>
      </c>
      <c r="K51" s="323">
        <f t="shared" si="1"/>
        <v>6815781454.6100025</v>
      </c>
      <c r="L51" s="323">
        <f t="shared" si="1"/>
        <v>6953120183.909997</v>
      </c>
      <c r="M51" s="323">
        <f t="shared" si="1"/>
        <v>6974920745.200005</v>
      </c>
      <c r="N51" s="323">
        <f t="shared" si="1"/>
        <v>7003230819.640001</v>
      </c>
      <c r="O51" s="323">
        <f t="shared" si="1"/>
        <v>7092029211.779999</v>
      </c>
      <c r="P51" s="323">
        <f>SUM(P6:P50)</f>
        <v>495886156.16999924</v>
      </c>
      <c r="Q51" s="79"/>
      <c r="R51" s="79"/>
      <c r="S51" s="79"/>
      <c r="T51" s="79"/>
      <c r="U51" s="79"/>
      <c r="V51" s="79"/>
      <c r="W51" s="79"/>
    </row>
    <row r="52" spans="2:23" ht="12.75">
      <c r="B52" s="99"/>
      <c r="C52" s="96"/>
      <c r="D52" s="96"/>
      <c r="E52" s="96"/>
      <c r="F52" s="96"/>
      <c r="G52" s="96"/>
      <c r="H52" s="96"/>
      <c r="I52" s="97"/>
      <c r="J52" s="97"/>
      <c r="K52" s="97"/>
      <c r="L52" s="97"/>
      <c r="M52" s="97"/>
      <c r="N52" s="97"/>
      <c r="O52" s="97"/>
      <c r="P52" s="106"/>
      <c r="Q52" s="79"/>
      <c r="R52" s="79"/>
      <c r="S52" s="79"/>
      <c r="T52" s="79"/>
      <c r="U52" s="79"/>
      <c r="V52" s="79"/>
      <c r="W52" s="79"/>
    </row>
    <row r="53" spans="2:23" ht="12.75">
      <c r="B53" s="99" t="s">
        <v>166</v>
      </c>
      <c r="C53" s="96">
        <v>0</v>
      </c>
      <c r="D53" s="96">
        <f aca="true" t="shared" si="2" ref="D53:O53">+D51-C51</f>
        <v>-5875524.380002022</v>
      </c>
      <c r="E53" s="96">
        <f t="shared" si="2"/>
        <v>1971668.0200052261</v>
      </c>
      <c r="F53" s="96">
        <f t="shared" si="2"/>
        <v>18405810.349999428</v>
      </c>
      <c r="G53" s="96">
        <f t="shared" si="2"/>
        <v>16539552.989991188</v>
      </c>
      <c r="H53" s="96">
        <f t="shared" si="2"/>
        <v>70001838.83000565</v>
      </c>
      <c r="I53" s="96">
        <f t="shared" si="2"/>
        <v>78106614.80000019</v>
      </c>
      <c r="J53" s="96">
        <f t="shared" si="2"/>
        <v>23582633.880000114</v>
      </c>
      <c r="K53" s="96">
        <f t="shared" si="2"/>
        <v>16905804.510002136</v>
      </c>
      <c r="L53" s="96">
        <f t="shared" si="2"/>
        <v>137338729.29999447</v>
      </c>
      <c r="M53" s="96">
        <f t="shared" si="2"/>
        <v>21800561.29000759</v>
      </c>
      <c r="N53" s="96">
        <f t="shared" si="2"/>
        <v>28310074.43999672</v>
      </c>
      <c r="O53" s="96">
        <f t="shared" si="2"/>
        <v>88798392.13999748</v>
      </c>
      <c r="P53" s="106"/>
      <c r="Q53" s="79"/>
      <c r="R53" s="79"/>
      <c r="S53" s="79"/>
      <c r="T53" s="79"/>
      <c r="U53" s="79"/>
      <c r="V53" s="79"/>
      <c r="W53" s="79"/>
    </row>
    <row r="54" spans="2:23" ht="12.75">
      <c r="B54" s="99" t="s">
        <v>162</v>
      </c>
      <c r="C54" s="99"/>
      <c r="D54" s="107">
        <f>+D51-C51</f>
        <v>-5875524.380002022</v>
      </c>
      <c r="E54" s="107">
        <f aca="true" t="shared" si="3" ref="E54:O54">+E51-D51+D54</f>
        <v>-3903856.3599967957</v>
      </c>
      <c r="F54" s="107">
        <f t="shared" si="3"/>
        <v>14501953.990002632</v>
      </c>
      <c r="G54" s="107">
        <f t="shared" si="3"/>
        <v>31041506.97999382</v>
      </c>
      <c r="H54" s="107">
        <f t="shared" si="3"/>
        <v>101043345.80999947</v>
      </c>
      <c r="I54" s="107">
        <f t="shared" si="3"/>
        <v>179149960.60999966</v>
      </c>
      <c r="J54" s="107">
        <f t="shared" si="3"/>
        <v>202732594.48999977</v>
      </c>
      <c r="K54" s="107">
        <f t="shared" si="3"/>
        <v>219638399.0000019</v>
      </c>
      <c r="L54" s="107">
        <f t="shared" si="3"/>
        <v>356977128.2999964</v>
      </c>
      <c r="M54" s="107">
        <f t="shared" si="3"/>
        <v>378777689.59000397</v>
      </c>
      <c r="N54" s="107">
        <f t="shared" si="3"/>
        <v>407087764.0300007</v>
      </c>
      <c r="O54" s="107">
        <f t="shared" si="3"/>
        <v>495886156.16999817</v>
      </c>
      <c r="P54" s="106"/>
      <c r="Q54" s="79"/>
      <c r="R54" s="79"/>
      <c r="S54" s="79"/>
      <c r="T54" s="79"/>
      <c r="U54" s="79"/>
      <c r="V54" s="79"/>
      <c r="W54" s="79"/>
    </row>
    <row r="55" spans="2:23" ht="12.75">
      <c r="B55" s="99" t="s">
        <v>163</v>
      </c>
      <c r="C55" s="99"/>
      <c r="D55" s="99"/>
      <c r="E55" s="99"/>
      <c r="F55" s="107">
        <f>+F51-C51</f>
        <v>14501953.990002632</v>
      </c>
      <c r="G55" s="99"/>
      <c r="H55" s="99"/>
      <c r="I55" s="107">
        <f>+I51-F51+F55</f>
        <v>179149960.60999966</v>
      </c>
      <c r="J55" s="93"/>
      <c r="K55" s="93"/>
      <c r="L55" s="107">
        <f>+L51-I51+I55</f>
        <v>356977128.2999964</v>
      </c>
      <c r="M55" s="93"/>
      <c r="N55" s="93"/>
      <c r="O55" s="107">
        <f>+O51-L51+L55</f>
        <v>495886156.16999817</v>
      </c>
      <c r="P55" s="100"/>
      <c r="Q55" s="99"/>
      <c r="R55" s="99"/>
      <c r="S55" s="99"/>
      <c r="T55" s="99"/>
      <c r="U55" s="99"/>
      <c r="V55" s="99"/>
      <c r="W55" s="99"/>
    </row>
    <row r="56" spans="2:23" ht="12.75">
      <c r="B56" s="99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100"/>
      <c r="Q56" s="99"/>
      <c r="R56" s="99"/>
      <c r="S56" s="99"/>
      <c r="T56" s="99"/>
      <c r="U56" s="99"/>
      <c r="V56" s="99"/>
      <c r="W56" s="99"/>
    </row>
    <row r="57" spans="2:23" ht="12.75">
      <c r="B57" s="99"/>
      <c r="C57" s="99"/>
      <c r="D57" s="99"/>
      <c r="E57" s="99"/>
      <c r="F57" s="99"/>
      <c r="G57" s="99"/>
      <c r="H57" s="99"/>
      <c r="I57" s="93"/>
      <c r="J57" s="93"/>
      <c r="K57" s="93"/>
      <c r="L57" s="93"/>
      <c r="M57" s="93"/>
      <c r="N57" s="93"/>
      <c r="O57" s="93"/>
      <c r="P57" s="100"/>
      <c r="Q57" s="99"/>
      <c r="R57" s="99"/>
      <c r="S57" s="99"/>
      <c r="T57" s="99"/>
      <c r="U57" s="99"/>
      <c r="V57" s="99"/>
      <c r="W57" s="99"/>
    </row>
    <row r="58" spans="2:23" ht="12.75">
      <c r="B58" s="99"/>
      <c r="C58" s="99"/>
      <c r="D58" s="99"/>
      <c r="E58" s="99"/>
      <c r="F58" s="99"/>
      <c r="G58" s="99"/>
      <c r="H58" s="99"/>
      <c r="I58" s="93"/>
      <c r="J58" s="93"/>
      <c r="K58" s="93"/>
      <c r="L58" s="93"/>
      <c r="M58" s="93"/>
      <c r="N58" s="93"/>
      <c r="O58" s="93"/>
      <c r="P58" s="100"/>
      <c r="Q58" s="99"/>
      <c r="R58" s="99"/>
      <c r="S58" s="99"/>
      <c r="T58" s="99"/>
      <c r="U58" s="99"/>
      <c r="V58" s="99"/>
      <c r="W58" s="99"/>
    </row>
    <row r="59" spans="2:23" ht="12.75">
      <c r="B59" s="99"/>
      <c r="C59" s="104" t="s">
        <v>164</v>
      </c>
      <c r="D59" s="104" t="s">
        <v>165</v>
      </c>
      <c r="E59" s="104" t="s">
        <v>276</v>
      </c>
      <c r="F59" s="104" t="s">
        <v>277</v>
      </c>
      <c r="G59" s="104" t="s">
        <v>278</v>
      </c>
      <c r="H59" s="104"/>
      <c r="I59" s="93"/>
      <c r="J59" s="93"/>
      <c r="K59" s="93"/>
      <c r="L59" s="93"/>
      <c r="M59" s="93"/>
      <c r="N59" s="93"/>
      <c r="O59" s="93"/>
      <c r="P59" s="100"/>
      <c r="Q59" s="99"/>
      <c r="R59" s="99"/>
      <c r="S59" s="99"/>
      <c r="T59" s="99"/>
      <c r="U59" s="99"/>
      <c r="V59" s="99"/>
      <c r="W59" s="99"/>
    </row>
    <row r="60" spans="2:23" ht="12.75">
      <c r="B60" s="99"/>
      <c r="C60" s="107">
        <v>0</v>
      </c>
      <c r="D60" s="108">
        <f>+F55</f>
        <v>14501953.990002632</v>
      </c>
      <c r="E60" s="108">
        <f>+I55</f>
        <v>179149960.60999966</v>
      </c>
      <c r="F60" s="108">
        <f>+L55</f>
        <v>356977128.2999964</v>
      </c>
      <c r="G60" s="108">
        <f>+O55</f>
        <v>495886156.16999817</v>
      </c>
      <c r="H60" s="108"/>
      <c r="I60" s="93"/>
      <c r="J60" s="93"/>
      <c r="K60" s="93"/>
      <c r="L60" s="93"/>
      <c r="M60" s="93"/>
      <c r="N60" s="93"/>
      <c r="O60" s="93"/>
      <c r="P60" s="100"/>
      <c r="Q60" s="99"/>
      <c r="R60" s="99"/>
      <c r="S60" s="99"/>
      <c r="T60" s="99"/>
      <c r="U60" s="99"/>
      <c r="V60" s="99"/>
      <c r="W60" s="99"/>
    </row>
    <row r="61" spans="2:23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100"/>
      <c r="Q61" s="99"/>
      <c r="R61" s="99"/>
      <c r="S61" s="99"/>
      <c r="T61" s="99"/>
      <c r="U61" s="99"/>
      <c r="V61" s="99"/>
      <c r="W61" s="99"/>
    </row>
    <row r="62" spans="2:23" ht="12.75">
      <c r="B62" s="99"/>
      <c r="C62" s="99"/>
      <c r="D62" s="99"/>
      <c r="E62" s="99"/>
      <c r="F62" s="99"/>
      <c r="G62" s="99"/>
      <c r="H62" s="99"/>
      <c r="I62" s="93"/>
      <c r="J62" s="93"/>
      <c r="K62" s="93"/>
      <c r="L62" s="93"/>
      <c r="M62" s="93"/>
      <c r="N62" s="93"/>
      <c r="O62" s="93"/>
      <c r="P62" s="100"/>
      <c r="Q62" s="99"/>
      <c r="R62" s="99"/>
      <c r="S62" s="99"/>
      <c r="T62" s="99"/>
      <c r="U62" s="99"/>
      <c r="V62" s="99"/>
      <c r="W62" s="99"/>
    </row>
    <row r="63" spans="3:15" ht="12.75"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3:15" ht="12.75">
      <c r="C64" s="99"/>
      <c r="D64" s="99"/>
      <c r="E64" s="99"/>
      <c r="F64" s="99"/>
      <c r="G64" s="99"/>
      <c r="H64" s="99"/>
      <c r="I64" s="93"/>
      <c r="J64" s="93"/>
      <c r="K64" s="93"/>
      <c r="L64" s="93"/>
      <c r="M64" s="93"/>
      <c r="N64" s="93"/>
      <c r="O64" s="93"/>
    </row>
    <row r="65" spans="3:15" ht="12.75">
      <c r="C65" s="99"/>
      <c r="D65" s="99"/>
      <c r="E65" s="99"/>
      <c r="F65" s="99"/>
      <c r="G65" s="99"/>
      <c r="H65" s="99"/>
      <c r="I65" s="93"/>
      <c r="J65" s="93"/>
      <c r="K65" s="93"/>
      <c r="L65" s="93"/>
      <c r="M65" s="93"/>
      <c r="N65" s="93"/>
      <c r="O65" s="93"/>
    </row>
    <row r="66" spans="3:15" ht="12.75">
      <c r="C66" s="99"/>
      <c r="D66" s="99"/>
      <c r="E66" s="99"/>
      <c r="F66" s="99"/>
      <c r="G66" s="99"/>
      <c r="H66" s="99"/>
      <c r="I66" s="93"/>
      <c r="J66" s="93"/>
      <c r="K66" s="93"/>
      <c r="L66" s="93"/>
      <c r="M66" s="93"/>
      <c r="N66" s="93"/>
      <c r="O66" s="93"/>
    </row>
    <row r="67" spans="3:15" ht="12.75">
      <c r="C67" s="99"/>
      <c r="D67" s="99"/>
      <c r="E67" s="99"/>
      <c r="F67" s="99"/>
      <c r="G67" s="99"/>
      <c r="H67" s="99"/>
      <c r="I67" s="93"/>
      <c r="J67" s="93"/>
      <c r="K67" s="93"/>
      <c r="L67" s="93"/>
      <c r="M67" s="93"/>
      <c r="N67" s="93"/>
      <c r="O67" s="93"/>
    </row>
    <row r="68" spans="3:15" ht="12.75"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3:15" ht="12.75"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</row>
    <row r="70" spans="3:15" ht="12.75"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3:15" ht="12.75"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3:15" ht="12.75"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3:15" ht="12.75"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3:15" ht="12.75"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3:15" ht="12.75"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3:15" ht="12.75"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3:15" ht="12.75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3:15" ht="12.75"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</sheetData>
  <sheetProtection/>
  <printOptions/>
  <pageMargins left="0.48" right="0.34" top="0.25" bottom="0" header="0.26" footer="0.3"/>
  <pageSetup horizontalDpi="600" verticalDpi="600" orientation="landscape" paperSize="5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60" zoomScalePageLayoutView="0" workbookViewId="0" topLeftCell="A1">
      <selection activeCell="D21" sqref="D21"/>
    </sheetView>
  </sheetViews>
  <sheetFormatPr defaultColWidth="9.140625" defaultRowHeight="12.75"/>
  <cols>
    <col min="1" max="1" width="4.57421875" style="389" customWidth="1"/>
    <col min="2" max="2" width="60.57421875" style="389" bestFit="1" customWidth="1"/>
    <col min="3" max="3" width="15.00390625" style="389" bestFit="1" customWidth="1"/>
    <col min="4" max="4" width="15.28125" style="389" customWidth="1"/>
    <col min="5" max="5" width="13.8515625" style="389" customWidth="1"/>
    <col min="6" max="7" width="14.00390625" style="389" customWidth="1"/>
    <col min="8" max="8" width="15.00390625" style="389" bestFit="1" customWidth="1"/>
    <col min="9" max="9" width="13.57421875" style="389" bestFit="1" customWidth="1"/>
    <col min="10" max="16384" width="9.140625" style="389" customWidth="1"/>
  </cols>
  <sheetData>
    <row r="1" spans="2:10" ht="15.75">
      <c r="B1" s="436" t="s">
        <v>298</v>
      </c>
      <c r="C1" s="437"/>
      <c r="D1" s="437"/>
      <c r="E1" s="437"/>
      <c r="F1" s="437"/>
      <c r="G1" s="437"/>
      <c r="H1" s="437"/>
      <c r="I1" s="437"/>
      <c r="J1" s="411"/>
    </row>
    <row r="2" spans="2:10" ht="15.75">
      <c r="B2" s="436" t="s">
        <v>1</v>
      </c>
      <c r="C2" s="437"/>
      <c r="D2" s="437"/>
      <c r="E2" s="437"/>
      <c r="F2" s="437"/>
      <c r="G2" s="437"/>
      <c r="H2" s="437"/>
      <c r="I2" s="437"/>
      <c r="J2" s="411"/>
    </row>
    <row r="3" spans="2:10" ht="15.75">
      <c r="B3" s="436" t="s">
        <v>260</v>
      </c>
      <c r="C3" s="437"/>
      <c r="D3" s="437"/>
      <c r="E3" s="437"/>
      <c r="F3" s="437"/>
      <c r="G3" s="437"/>
      <c r="H3" s="437"/>
      <c r="I3" s="437"/>
      <c r="J3" s="411"/>
    </row>
    <row r="4" spans="2:10" ht="15.75">
      <c r="B4" s="438" t="s">
        <v>255</v>
      </c>
      <c r="C4" s="439"/>
      <c r="D4" s="439"/>
      <c r="E4" s="439"/>
      <c r="F4" s="439"/>
      <c r="G4" s="439"/>
      <c r="H4" s="439"/>
      <c r="I4" s="439"/>
      <c r="J4" s="411"/>
    </row>
    <row r="5" spans="2:10" ht="15.75">
      <c r="B5" s="438"/>
      <c r="C5" s="439"/>
      <c r="D5" s="439"/>
      <c r="E5" s="439"/>
      <c r="F5" s="439"/>
      <c r="G5" s="439"/>
      <c r="H5" s="439"/>
      <c r="I5" s="439"/>
      <c r="J5" s="411"/>
    </row>
    <row r="6" spans="1:10" ht="15.75">
      <c r="A6" s="440" t="s">
        <v>66</v>
      </c>
      <c r="B6" s="438" t="s">
        <v>67</v>
      </c>
      <c r="C6" s="441" t="s">
        <v>68</v>
      </c>
      <c r="D6" s="441" t="s">
        <v>69</v>
      </c>
      <c r="E6" s="441" t="s">
        <v>70</v>
      </c>
      <c r="F6" s="441" t="s">
        <v>71</v>
      </c>
      <c r="G6" s="441" t="s">
        <v>72</v>
      </c>
      <c r="H6" s="441" t="s">
        <v>73</v>
      </c>
      <c r="I6" s="441" t="s">
        <v>74</v>
      </c>
      <c r="J6" s="411"/>
    </row>
    <row r="7" spans="1:10" ht="15.75">
      <c r="A7" s="440"/>
      <c r="B7" s="438"/>
      <c r="C7" s="439"/>
      <c r="D7" s="439"/>
      <c r="E7" s="439"/>
      <c r="F7" s="439"/>
      <c r="G7" s="439"/>
      <c r="H7" s="439"/>
      <c r="I7" s="439"/>
      <c r="J7" s="411"/>
    </row>
    <row r="8" spans="1:10" ht="15.75">
      <c r="A8" s="407">
        <v>1</v>
      </c>
      <c r="B8" s="442" t="s">
        <v>247</v>
      </c>
      <c r="C8" s="443"/>
      <c r="D8" s="443"/>
      <c r="E8" s="443"/>
      <c r="F8" s="443"/>
      <c r="G8" s="443"/>
      <c r="H8" s="443"/>
      <c r="I8" s="443"/>
      <c r="J8" s="411"/>
    </row>
    <row r="9" spans="1:10" ht="15.75">
      <c r="A9" s="407">
        <v>2</v>
      </c>
      <c r="B9" s="411"/>
      <c r="C9" s="397"/>
      <c r="D9" s="398"/>
      <c r="E9" s="398" t="s">
        <v>56</v>
      </c>
      <c r="F9" s="398"/>
      <c r="G9" s="399"/>
      <c r="H9" s="400" t="s">
        <v>101</v>
      </c>
      <c r="I9" s="444" t="s">
        <v>76</v>
      </c>
      <c r="J9" s="411"/>
    </row>
    <row r="10" spans="1:10" ht="15.75">
      <c r="A10" s="407">
        <v>3</v>
      </c>
      <c r="B10" s="402"/>
      <c r="C10" s="403" t="s">
        <v>100</v>
      </c>
      <c r="D10" s="404" t="s">
        <v>7</v>
      </c>
      <c r="E10" s="404" t="s">
        <v>4</v>
      </c>
      <c r="F10" s="404" t="s">
        <v>4</v>
      </c>
      <c r="G10" s="405" t="s">
        <v>75</v>
      </c>
      <c r="H10" s="406" t="s">
        <v>100</v>
      </c>
      <c r="I10" s="406" t="s">
        <v>17</v>
      </c>
      <c r="J10" s="411"/>
    </row>
    <row r="11" spans="1:10" ht="15.75">
      <c r="A11" s="407">
        <v>4</v>
      </c>
      <c r="B11" s="445"/>
      <c r="C11" s="446"/>
      <c r="D11" s="447"/>
      <c r="E11" s="447" t="s">
        <v>257</v>
      </c>
      <c r="F11" s="447" t="s">
        <v>258</v>
      </c>
      <c r="G11" s="448"/>
      <c r="H11" s="449"/>
      <c r="I11" s="450"/>
      <c r="J11" s="411"/>
    </row>
    <row r="12" spans="1:10" ht="15.75">
      <c r="A12" s="407">
        <v>5</v>
      </c>
      <c r="B12" s="411" t="s">
        <v>251</v>
      </c>
      <c r="C12" s="451">
        <v>2319559000</v>
      </c>
      <c r="D12" s="452">
        <v>427038763</v>
      </c>
      <c r="E12" s="452">
        <v>57000000</v>
      </c>
      <c r="F12" s="452">
        <v>55300000</v>
      </c>
      <c r="G12" s="427"/>
      <c r="H12" s="414">
        <v>1378923000</v>
      </c>
      <c r="I12" s="428"/>
      <c r="J12" s="411"/>
    </row>
    <row r="13" spans="1:10" ht="15.75">
      <c r="A13" s="407">
        <v>6</v>
      </c>
      <c r="B13" s="411" t="s">
        <v>15</v>
      </c>
      <c r="C13" s="453">
        <f>SUM(C12:C12)</f>
        <v>2319559000</v>
      </c>
      <c r="D13" s="454">
        <f>SUM(D12:D12)</f>
        <v>427038763</v>
      </c>
      <c r="E13" s="454">
        <f>SUM(E12:E12)</f>
        <v>57000000</v>
      </c>
      <c r="F13" s="454">
        <f>SUM(F12:F12)</f>
        <v>55300000</v>
      </c>
      <c r="G13" s="455" t="s">
        <v>77</v>
      </c>
      <c r="H13" s="426">
        <f>SUM(H12:H12)</f>
        <v>1378923000</v>
      </c>
      <c r="I13" s="426"/>
      <c r="J13" s="411"/>
    </row>
    <row r="14" spans="1:10" ht="15.75">
      <c r="A14" s="407">
        <v>7</v>
      </c>
      <c r="B14" s="411"/>
      <c r="C14" s="456"/>
      <c r="D14" s="457"/>
      <c r="E14" s="457"/>
      <c r="F14" s="458"/>
      <c r="G14" s="431"/>
      <c r="H14" s="459"/>
      <c r="I14" s="428"/>
      <c r="J14" s="411"/>
    </row>
    <row r="15" spans="1:10" ht="15.75">
      <c r="A15" s="407">
        <v>8</v>
      </c>
      <c r="B15" s="411" t="s">
        <v>253</v>
      </c>
      <c r="C15" s="456">
        <v>0.9541</v>
      </c>
      <c r="D15" s="457">
        <v>0.0657721978273902</v>
      </c>
      <c r="E15" s="457">
        <v>1</v>
      </c>
      <c r="F15" s="457">
        <v>1</v>
      </c>
      <c r="G15" s="460" t="s">
        <v>77</v>
      </c>
      <c r="H15" s="459">
        <v>0.9673</v>
      </c>
      <c r="I15" s="428"/>
      <c r="J15" s="411"/>
    </row>
    <row r="16" spans="1:10" ht="15.75">
      <c r="A16" s="407">
        <v>9</v>
      </c>
      <c r="B16" s="411"/>
      <c r="C16" s="461"/>
      <c r="D16" s="462"/>
      <c r="E16" s="462"/>
      <c r="F16" s="458"/>
      <c r="G16" s="460"/>
      <c r="H16" s="450"/>
      <c r="I16" s="428"/>
      <c r="J16" s="411"/>
    </row>
    <row r="17" spans="1:10" ht="15.75">
      <c r="A17" s="407">
        <v>10</v>
      </c>
      <c r="B17" s="411" t="s">
        <v>16</v>
      </c>
      <c r="C17" s="463">
        <f>+C13*C15</f>
        <v>2213091241.9</v>
      </c>
      <c r="D17" s="464">
        <f>+D13*D15</f>
        <v>28087278</v>
      </c>
      <c r="E17" s="464">
        <f>+E13*E15</f>
        <v>57000000</v>
      </c>
      <c r="F17" s="464">
        <f>+F13*F15</f>
        <v>55300000</v>
      </c>
      <c r="G17" s="455" t="s">
        <v>77</v>
      </c>
      <c r="H17" s="421">
        <f>+H13*H15</f>
        <v>1333832217.9</v>
      </c>
      <c r="I17" s="426"/>
      <c r="J17" s="411"/>
    </row>
    <row r="18" spans="1:10" ht="15.75">
      <c r="A18" s="407">
        <v>11</v>
      </c>
      <c r="B18" s="411"/>
      <c r="C18" s="461"/>
      <c r="D18" s="462"/>
      <c r="E18" s="462"/>
      <c r="F18" s="458"/>
      <c r="G18" s="460"/>
      <c r="H18" s="450"/>
      <c r="I18" s="428"/>
      <c r="J18" s="411"/>
    </row>
    <row r="19" spans="1:10" ht="15.75">
      <c r="A19" s="407">
        <v>12</v>
      </c>
      <c r="B19" s="411" t="s">
        <v>254</v>
      </c>
      <c r="C19" s="465">
        <v>10.932</v>
      </c>
      <c r="D19" s="466">
        <v>304.948</v>
      </c>
      <c r="E19" s="466">
        <v>11.62</v>
      </c>
      <c r="F19" s="466">
        <v>11.3722</v>
      </c>
      <c r="G19" s="467" t="s">
        <v>77</v>
      </c>
      <c r="H19" s="468">
        <v>11.366</v>
      </c>
      <c r="I19" s="428"/>
      <c r="J19" s="411"/>
    </row>
    <row r="20" spans="1:10" ht="15.75">
      <c r="A20" s="407">
        <v>13</v>
      </c>
      <c r="B20" s="411"/>
      <c r="C20" s="461"/>
      <c r="D20" s="462"/>
      <c r="E20" s="469" t="s">
        <v>262</v>
      </c>
      <c r="F20" s="469" t="s">
        <v>262</v>
      </c>
      <c r="G20" s="431"/>
      <c r="H20" s="450"/>
      <c r="I20" s="428"/>
      <c r="J20" s="411"/>
    </row>
    <row r="21" spans="1:10" ht="15.75">
      <c r="A21" s="407">
        <v>14</v>
      </c>
      <c r="B21" s="411" t="s">
        <v>18</v>
      </c>
      <c r="C21" s="463">
        <f>+'2010 Electric WA Final'!F52</f>
        <v>24193522.136</v>
      </c>
      <c r="D21" s="464">
        <f>+'2010 Electric MT Final'!H31</f>
        <v>8565183.29</v>
      </c>
      <c r="E21" s="464">
        <f>+E17*E19/1000/2</f>
        <v>331170</v>
      </c>
      <c r="F21" s="464">
        <f>+F17*F19/1000/2</f>
        <v>314441.33</v>
      </c>
      <c r="G21" s="425">
        <f>SUM(C21:F21)</f>
        <v>33404316.755999997</v>
      </c>
      <c r="H21" s="421">
        <f>+'2010 Gas Final'!E23</f>
        <v>15160849.549999997</v>
      </c>
      <c r="I21" s="426">
        <f>+G21+H21</f>
        <v>48565166.305999994</v>
      </c>
      <c r="J21" s="411"/>
    </row>
    <row r="22" spans="1:10" ht="15.75">
      <c r="A22" s="407">
        <v>15</v>
      </c>
      <c r="B22" s="411"/>
      <c r="C22" s="451"/>
      <c r="D22" s="452"/>
      <c r="E22" s="452"/>
      <c r="F22" s="452"/>
      <c r="G22" s="427"/>
      <c r="H22" s="414"/>
      <c r="I22" s="428"/>
      <c r="J22" s="411"/>
    </row>
    <row r="23" spans="1:10" ht="15.75">
      <c r="A23" s="407">
        <v>16</v>
      </c>
      <c r="B23" s="411" t="s">
        <v>21</v>
      </c>
      <c r="C23" s="451">
        <f>+'2010 Electric WA Final'!F56</f>
        <v>218699.97</v>
      </c>
      <c r="D23" s="452"/>
      <c r="E23" s="452"/>
      <c r="F23" s="458"/>
      <c r="G23" s="431">
        <f>SUM(C23:F23)</f>
        <v>218699.97</v>
      </c>
      <c r="H23" s="414">
        <v>0</v>
      </c>
      <c r="I23" s="428">
        <f>+G23+H23</f>
        <v>218699.97</v>
      </c>
      <c r="J23" s="411"/>
    </row>
    <row r="24" spans="1:10" ht="15.75">
      <c r="A24" s="407">
        <v>17</v>
      </c>
      <c r="B24" s="411" t="s">
        <v>264</v>
      </c>
      <c r="C24" s="451">
        <f>+'2010 Electric WA Final'!F55</f>
        <v>91967.5</v>
      </c>
      <c r="D24" s="452"/>
      <c r="E24" s="452"/>
      <c r="F24" s="458"/>
      <c r="G24" s="431">
        <f>SUM(C24:F24)</f>
        <v>91967.5</v>
      </c>
      <c r="H24" s="414">
        <f>+'2010 Gas Final'!E25</f>
        <v>54252.44</v>
      </c>
      <c r="I24" s="428">
        <f>+G24+H24</f>
        <v>146219.94</v>
      </c>
      <c r="J24" s="411"/>
    </row>
    <row r="25" spans="1:10" ht="15.75">
      <c r="A25" s="407">
        <v>18</v>
      </c>
      <c r="B25" s="432" t="s">
        <v>20</v>
      </c>
      <c r="C25" s="451">
        <f>+'Surface water mtg fee'!B20</f>
        <v>85130.48</v>
      </c>
      <c r="D25" s="452">
        <f>+'Surface water mtg fee'!D20</f>
        <v>6606</v>
      </c>
      <c r="E25" s="452"/>
      <c r="F25" s="458"/>
      <c r="G25" s="431">
        <f>SUM(C25:F25)</f>
        <v>91736.48</v>
      </c>
      <c r="H25" s="414">
        <v>0</v>
      </c>
      <c r="I25" s="428">
        <f>+G25+H25</f>
        <v>91736.48</v>
      </c>
      <c r="J25" s="462"/>
    </row>
    <row r="26" spans="1:10" ht="15.75">
      <c r="A26" s="407">
        <v>19</v>
      </c>
      <c r="B26" s="432"/>
      <c r="C26" s="451"/>
      <c r="D26" s="452"/>
      <c r="E26" s="452"/>
      <c r="F26" s="458"/>
      <c r="G26" s="431"/>
      <c r="H26" s="414"/>
      <c r="I26" s="470"/>
      <c r="J26" s="462"/>
    </row>
    <row r="27" spans="1:10" ht="16.5" thickBot="1">
      <c r="A27" s="407">
        <v>20</v>
      </c>
      <c r="B27" s="432" t="s">
        <v>269</v>
      </c>
      <c r="C27" s="471">
        <f aca="true" t="shared" si="0" ref="C27:H27">SUM(C21:C25)</f>
        <v>24589320.086</v>
      </c>
      <c r="D27" s="472">
        <f t="shared" si="0"/>
        <v>8571789.29</v>
      </c>
      <c r="E27" s="472">
        <f t="shared" si="0"/>
        <v>331170</v>
      </c>
      <c r="F27" s="472">
        <f t="shared" si="0"/>
        <v>314441.33</v>
      </c>
      <c r="G27" s="472">
        <f t="shared" si="0"/>
        <v>33806720.70599999</v>
      </c>
      <c r="H27" s="473">
        <f t="shared" si="0"/>
        <v>15215101.989999996</v>
      </c>
      <c r="I27" s="474">
        <f>+G27+H27</f>
        <v>49021822.69599999</v>
      </c>
      <c r="J27" s="475"/>
    </row>
    <row r="28" spans="1:10" ht="16.5" thickTop="1">
      <c r="A28" s="407">
        <v>21</v>
      </c>
      <c r="B28" s="411"/>
      <c r="C28" s="476"/>
      <c r="D28" s="476"/>
      <c r="E28" s="476"/>
      <c r="F28" s="476"/>
      <c r="G28" s="477"/>
      <c r="H28" s="476"/>
      <c r="I28" s="477"/>
      <c r="J28" s="462"/>
    </row>
    <row r="29" spans="1:10" ht="15.75">
      <c r="A29" s="407">
        <v>22</v>
      </c>
      <c r="C29" s="411"/>
      <c r="D29" s="411"/>
      <c r="E29" s="411"/>
      <c r="F29" s="411"/>
      <c r="G29" s="411"/>
      <c r="H29" s="411"/>
      <c r="I29" s="411"/>
      <c r="J29" s="411"/>
    </row>
    <row r="30" ht="15.75">
      <c r="A30" s="407">
        <v>23</v>
      </c>
    </row>
    <row r="31" spans="1:2" ht="15.75">
      <c r="A31" s="407">
        <v>24</v>
      </c>
      <c r="B31" s="432" t="s">
        <v>256</v>
      </c>
    </row>
    <row r="32" ht="15.75">
      <c r="A32" s="407">
        <v>25</v>
      </c>
    </row>
    <row r="33" ht="15.75">
      <c r="A33" s="407">
        <v>26</v>
      </c>
    </row>
    <row r="34" ht="15.75">
      <c r="A34" s="407">
        <v>27</v>
      </c>
    </row>
  </sheetData>
  <sheetProtection/>
  <printOptions horizontalCentered="1" verticalCentered="1"/>
  <pageMargins left="0.5" right="0.5" top="0.5" bottom="0.5" header="0.3" footer="0.3"/>
  <pageSetup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60" zoomScalePageLayoutView="0" workbookViewId="0" topLeftCell="A1">
      <selection activeCell="M48" sqref="M48"/>
    </sheetView>
  </sheetViews>
  <sheetFormatPr defaultColWidth="9.140625" defaultRowHeight="12.75"/>
  <cols>
    <col min="1" max="1" width="4.57421875" style="389" customWidth="1"/>
    <col min="2" max="2" width="60.57421875" style="389" bestFit="1" customWidth="1"/>
    <col min="3" max="3" width="15.00390625" style="389" bestFit="1" customWidth="1"/>
    <col min="4" max="4" width="15.28125" style="389" customWidth="1"/>
    <col min="5" max="5" width="13.8515625" style="389" customWidth="1"/>
    <col min="6" max="7" width="14.00390625" style="389" customWidth="1"/>
    <col min="8" max="8" width="15.00390625" style="389" bestFit="1" customWidth="1"/>
    <col min="9" max="9" width="13.57421875" style="389" bestFit="1" customWidth="1"/>
    <col min="10" max="16384" width="9.140625" style="389" customWidth="1"/>
  </cols>
  <sheetData>
    <row r="1" spans="2:10" ht="15.75">
      <c r="B1" s="436" t="s">
        <v>298</v>
      </c>
      <c r="C1" s="437"/>
      <c r="D1" s="437"/>
      <c r="E1" s="437"/>
      <c r="F1" s="437"/>
      <c r="G1" s="437"/>
      <c r="H1" s="437"/>
      <c r="I1" s="437"/>
      <c r="J1" s="411"/>
    </row>
    <row r="2" spans="2:10" ht="15.75">
      <c r="B2" s="436" t="s">
        <v>1</v>
      </c>
      <c r="C2" s="437"/>
      <c r="D2" s="437"/>
      <c r="E2" s="437"/>
      <c r="F2" s="437"/>
      <c r="G2" s="437"/>
      <c r="H2" s="437"/>
      <c r="I2" s="437"/>
      <c r="J2" s="411"/>
    </row>
    <row r="3" spans="2:10" ht="15.75">
      <c r="B3" s="436" t="s">
        <v>259</v>
      </c>
      <c r="C3" s="437"/>
      <c r="D3" s="437"/>
      <c r="E3" s="437"/>
      <c r="F3" s="437"/>
      <c r="G3" s="437"/>
      <c r="H3" s="437"/>
      <c r="I3" s="437"/>
      <c r="J3" s="411"/>
    </row>
    <row r="4" spans="2:10" ht="15.75">
      <c r="B4" s="438" t="s">
        <v>255</v>
      </c>
      <c r="C4" s="439"/>
      <c r="D4" s="439"/>
      <c r="E4" s="439"/>
      <c r="F4" s="439"/>
      <c r="G4" s="439"/>
      <c r="H4" s="439"/>
      <c r="I4" s="439"/>
      <c r="J4" s="411"/>
    </row>
    <row r="5" spans="2:10" ht="15.75">
      <c r="B5" s="438"/>
      <c r="C5" s="439"/>
      <c r="D5" s="439"/>
      <c r="E5" s="439"/>
      <c r="F5" s="439"/>
      <c r="G5" s="439"/>
      <c r="H5" s="439"/>
      <c r="I5" s="439"/>
      <c r="J5" s="411"/>
    </row>
    <row r="6" spans="1:10" ht="15.75">
      <c r="A6" s="440" t="s">
        <v>66</v>
      </c>
      <c r="B6" s="438" t="s">
        <v>67</v>
      </c>
      <c r="C6" s="441" t="s">
        <v>68</v>
      </c>
      <c r="D6" s="441" t="s">
        <v>69</v>
      </c>
      <c r="E6" s="441" t="s">
        <v>70</v>
      </c>
      <c r="F6" s="441" t="s">
        <v>71</v>
      </c>
      <c r="G6" s="441" t="s">
        <v>72</v>
      </c>
      <c r="H6" s="441" t="s">
        <v>73</v>
      </c>
      <c r="I6" s="441" t="s">
        <v>74</v>
      </c>
      <c r="J6" s="411"/>
    </row>
    <row r="7" spans="1:10" ht="15.75">
      <c r="A7" s="440"/>
      <c r="B7" s="438"/>
      <c r="C7" s="439"/>
      <c r="D7" s="439"/>
      <c r="E7" s="439"/>
      <c r="F7" s="439"/>
      <c r="G7" s="439"/>
      <c r="H7" s="439"/>
      <c r="I7" s="439"/>
      <c r="J7" s="411"/>
    </row>
    <row r="8" spans="1:10" ht="15.75">
      <c r="A8" s="407">
        <v>1</v>
      </c>
      <c r="B8" s="442" t="s">
        <v>261</v>
      </c>
      <c r="C8" s="443"/>
      <c r="D8" s="443"/>
      <c r="E8" s="443"/>
      <c r="F8" s="443"/>
      <c r="G8" s="443"/>
      <c r="H8" s="443"/>
      <c r="I8" s="443"/>
      <c r="J8" s="411"/>
    </row>
    <row r="9" spans="1:10" ht="15.75">
      <c r="A9" s="407">
        <v>2</v>
      </c>
      <c r="B9" s="411"/>
      <c r="C9" s="397"/>
      <c r="D9" s="398"/>
      <c r="E9" s="398" t="s">
        <v>56</v>
      </c>
      <c r="F9" s="398"/>
      <c r="G9" s="399"/>
      <c r="H9" s="400" t="s">
        <v>101</v>
      </c>
      <c r="I9" s="444" t="s">
        <v>76</v>
      </c>
      <c r="J9" s="411"/>
    </row>
    <row r="10" spans="1:10" ht="15.75">
      <c r="A10" s="407">
        <v>3</v>
      </c>
      <c r="B10" s="402"/>
      <c r="C10" s="403" t="s">
        <v>100</v>
      </c>
      <c r="D10" s="404" t="s">
        <v>7</v>
      </c>
      <c r="E10" s="404" t="s">
        <v>4</v>
      </c>
      <c r="F10" s="404" t="s">
        <v>4</v>
      </c>
      <c r="G10" s="405" t="s">
        <v>75</v>
      </c>
      <c r="H10" s="406" t="s">
        <v>100</v>
      </c>
      <c r="I10" s="406" t="s">
        <v>17</v>
      </c>
      <c r="J10" s="411"/>
    </row>
    <row r="11" spans="1:10" ht="15.75">
      <c r="A11" s="407">
        <v>4</v>
      </c>
      <c r="B11" s="445"/>
      <c r="C11" s="446"/>
      <c r="D11" s="447"/>
      <c r="E11" s="447" t="s">
        <v>257</v>
      </c>
      <c r="F11" s="447" t="s">
        <v>258</v>
      </c>
      <c r="G11" s="448"/>
      <c r="H11" s="449"/>
      <c r="I11" s="450"/>
      <c r="J11" s="411"/>
    </row>
    <row r="12" spans="1:10" ht="15.75">
      <c r="A12" s="407">
        <v>5</v>
      </c>
      <c r="B12" s="411" t="s">
        <v>251</v>
      </c>
      <c r="C12" s="451">
        <v>2319559000</v>
      </c>
      <c r="D12" s="452">
        <v>427038763</v>
      </c>
      <c r="E12" s="452">
        <v>57000000</v>
      </c>
      <c r="F12" s="452">
        <v>55300000</v>
      </c>
      <c r="G12" s="427"/>
      <c r="H12" s="414">
        <v>1378923000</v>
      </c>
      <c r="I12" s="428"/>
      <c r="J12" s="411"/>
    </row>
    <row r="13" spans="1:10" ht="15.75">
      <c r="A13" s="407">
        <v>6</v>
      </c>
      <c r="B13" s="411" t="s">
        <v>15</v>
      </c>
      <c r="C13" s="453">
        <f>SUM(C12:C12)</f>
        <v>2319559000</v>
      </c>
      <c r="D13" s="454">
        <f>SUM(D12:D12)</f>
        <v>427038763</v>
      </c>
      <c r="E13" s="454">
        <f>SUM(E12:E12)</f>
        <v>57000000</v>
      </c>
      <c r="F13" s="454">
        <f>SUM(F12:F12)</f>
        <v>55300000</v>
      </c>
      <c r="G13" s="455" t="s">
        <v>77</v>
      </c>
      <c r="H13" s="426">
        <f>SUM(H12:H12)</f>
        <v>1378923000</v>
      </c>
      <c r="I13" s="426"/>
      <c r="J13" s="411"/>
    </row>
    <row r="14" spans="1:10" ht="15.75">
      <c r="A14" s="407">
        <v>7</v>
      </c>
      <c r="B14" s="411"/>
      <c r="C14" s="456"/>
      <c r="D14" s="457"/>
      <c r="E14" s="457"/>
      <c r="F14" s="458"/>
      <c r="G14" s="431"/>
      <c r="H14" s="459"/>
      <c r="I14" s="428"/>
      <c r="J14" s="411"/>
    </row>
    <row r="15" spans="1:10" ht="15.75">
      <c r="A15" s="407">
        <v>8</v>
      </c>
      <c r="B15" s="411" t="s">
        <v>253</v>
      </c>
      <c r="C15" s="456">
        <v>0.9541</v>
      </c>
      <c r="D15" s="457">
        <v>0.0657721978273902</v>
      </c>
      <c r="E15" s="457">
        <v>1</v>
      </c>
      <c r="F15" s="457">
        <v>1</v>
      </c>
      <c r="G15" s="460" t="s">
        <v>77</v>
      </c>
      <c r="H15" s="459">
        <v>0.9673</v>
      </c>
      <c r="I15" s="428"/>
      <c r="J15" s="411"/>
    </row>
    <row r="16" spans="1:10" ht="15.75">
      <c r="A16" s="407">
        <v>9</v>
      </c>
      <c r="B16" s="411"/>
      <c r="C16" s="461"/>
      <c r="D16" s="462"/>
      <c r="E16" s="462"/>
      <c r="F16" s="458"/>
      <c r="G16" s="460"/>
      <c r="H16" s="450"/>
      <c r="I16" s="428"/>
      <c r="J16" s="411"/>
    </row>
    <row r="17" spans="1:10" ht="15.75">
      <c r="A17" s="407">
        <v>10</v>
      </c>
      <c r="B17" s="411" t="s">
        <v>16</v>
      </c>
      <c r="C17" s="463">
        <f>+C13*C15</f>
        <v>2213091241.9</v>
      </c>
      <c r="D17" s="464">
        <f>+D13*D15</f>
        <v>28087278</v>
      </c>
      <c r="E17" s="464">
        <f>+E13*E15</f>
        <v>57000000</v>
      </c>
      <c r="F17" s="464">
        <f>+F13*F15</f>
        <v>55300000</v>
      </c>
      <c r="G17" s="455" t="s">
        <v>77</v>
      </c>
      <c r="H17" s="421">
        <f>+H13*H15</f>
        <v>1333832217.9</v>
      </c>
      <c r="I17" s="426"/>
      <c r="J17" s="411"/>
    </row>
    <row r="18" spans="1:10" ht="15.75">
      <c r="A18" s="407">
        <v>11</v>
      </c>
      <c r="B18" s="411"/>
      <c r="C18" s="461"/>
      <c r="D18" s="462"/>
      <c r="E18" s="462"/>
      <c r="F18" s="458"/>
      <c r="G18" s="460"/>
      <c r="H18" s="450"/>
      <c r="I18" s="428"/>
      <c r="J18" s="411"/>
    </row>
    <row r="19" spans="1:10" ht="15.75">
      <c r="A19" s="407">
        <v>12</v>
      </c>
      <c r="B19" s="411" t="s">
        <v>254</v>
      </c>
      <c r="C19" s="465">
        <v>10.932</v>
      </c>
      <c r="D19" s="466">
        <v>304.948</v>
      </c>
      <c r="E19" s="466">
        <v>11.62</v>
      </c>
      <c r="F19" s="466">
        <v>11.3722</v>
      </c>
      <c r="G19" s="467" t="s">
        <v>77</v>
      </c>
      <c r="H19" s="468">
        <v>11.366</v>
      </c>
      <c r="I19" s="428"/>
      <c r="J19" s="411"/>
    </row>
    <row r="20" spans="1:10" ht="15.75">
      <c r="A20" s="407">
        <v>13</v>
      </c>
      <c r="B20" s="411"/>
      <c r="C20" s="461"/>
      <c r="D20" s="462"/>
      <c r="E20" s="469" t="s">
        <v>262</v>
      </c>
      <c r="F20" s="469" t="s">
        <v>262</v>
      </c>
      <c r="G20" s="431"/>
      <c r="H20" s="450"/>
      <c r="I20" s="428"/>
      <c r="J20" s="411"/>
    </row>
    <row r="21" spans="1:10" ht="15.75">
      <c r="A21" s="407">
        <v>14</v>
      </c>
      <c r="B21" s="411" t="s">
        <v>18</v>
      </c>
      <c r="C21" s="463">
        <f>+C17*C19/1000</f>
        <v>24193513.4564508</v>
      </c>
      <c r="D21" s="464">
        <f>+D17*D19/1000</f>
        <v>8565159.251544</v>
      </c>
      <c r="E21" s="464">
        <f>+E17*E19/1000/2</f>
        <v>331170</v>
      </c>
      <c r="F21" s="464">
        <f>+F17*F19/1000/2</f>
        <v>314441.33</v>
      </c>
      <c r="G21" s="425">
        <f>SUM(C21:F21)</f>
        <v>33404284.037994802</v>
      </c>
      <c r="H21" s="421">
        <f>+H17*H19/1000</f>
        <v>15160336.988651402</v>
      </c>
      <c r="I21" s="426">
        <f>+G21+H21</f>
        <v>48564621.026646204</v>
      </c>
      <c r="J21" s="411"/>
    </row>
    <row r="22" spans="1:10" ht="15.75">
      <c r="A22" s="407">
        <v>15</v>
      </c>
      <c r="B22" s="411"/>
      <c r="C22" s="451"/>
      <c r="D22" s="452"/>
      <c r="E22" s="452"/>
      <c r="F22" s="452"/>
      <c r="G22" s="427"/>
      <c r="H22" s="414"/>
      <c r="I22" s="428"/>
      <c r="J22" s="411"/>
    </row>
    <row r="23" spans="1:10" ht="15.75">
      <c r="A23" s="407">
        <v>16</v>
      </c>
      <c r="B23" s="411" t="s">
        <v>21</v>
      </c>
      <c r="C23" s="451">
        <v>218699.97</v>
      </c>
      <c r="D23" s="452"/>
      <c r="E23" s="452"/>
      <c r="F23" s="458"/>
      <c r="G23" s="431">
        <f>SUM(C23:F23)</f>
        <v>218699.97</v>
      </c>
      <c r="H23" s="414">
        <v>0</v>
      </c>
      <c r="I23" s="428">
        <f>+G23+H23</f>
        <v>218699.97</v>
      </c>
      <c r="J23" s="411"/>
    </row>
    <row r="24" spans="1:10" ht="15.75">
      <c r="A24" s="407">
        <v>17</v>
      </c>
      <c r="B24" s="411" t="s">
        <v>264</v>
      </c>
      <c r="C24" s="451">
        <v>91967.5</v>
      </c>
      <c r="D24" s="452"/>
      <c r="E24" s="452"/>
      <c r="F24" s="458"/>
      <c r="G24" s="431">
        <f>SUM(C24:F24)</f>
        <v>91967.5</v>
      </c>
      <c r="H24" s="414">
        <v>54252.44</v>
      </c>
      <c r="I24" s="428">
        <f>+G24+H24</f>
        <v>146219.94</v>
      </c>
      <c r="J24" s="411"/>
    </row>
    <row r="25" spans="1:10" ht="15.75">
      <c r="A25" s="407">
        <v>18</v>
      </c>
      <c r="B25" s="432" t="s">
        <v>20</v>
      </c>
      <c r="C25" s="451">
        <v>85130.48</v>
      </c>
      <c r="D25" s="452">
        <v>6606</v>
      </c>
      <c r="E25" s="452"/>
      <c r="F25" s="458"/>
      <c r="G25" s="431">
        <f>SUM(C25:F25)</f>
        <v>91736.48</v>
      </c>
      <c r="H25" s="414">
        <v>0</v>
      </c>
      <c r="I25" s="428">
        <f>+G25+H25</f>
        <v>91736.48</v>
      </c>
      <c r="J25" s="462"/>
    </row>
    <row r="26" spans="1:10" ht="15.75">
      <c r="A26" s="407">
        <v>19</v>
      </c>
      <c r="B26" s="432"/>
      <c r="C26" s="451"/>
      <c r="D26" s="452"/>
      <c r="E26" s="452"/>
      <c r="F26" s="458"/>
      <c r="G26" s="431"/>
      <c r="H26" s="414"/>
      <c r="I26" s="470"/>
      <c r="J26" s="462"/>
    </row>
    <row r="27" spans="1:10" ht="16.5" thickBot="1">
      <c r="A27" s="407">
        <v>20</v>
      </c>
      <c r="B27" s="432" t="s">
        <v>19</v>
      </c>
      <c r="C27" s="471">
        <f aca="true" t="shared" si="0" ref="C27:H27">SUM(C21:C25)</f>
        <v>24589311.4064508</v>
      </c>
      <c r="D27" s="472">
        <f t="shared" si="0"/>
        <v>8571765.251544</v>
      </c>
      <c r="E27" s="472">
        <f t="shared" si="0"/>
        <v>331170</v>
      </c>
      <c r="F27" s="472">
        <f t="shared" si="0"/>
        <v>314441.33</v>
      </c>
      <c r="G27" s="472">
        <f t="shared" si="0"/>
        <v>33806687.9879948</v>
      </c>
      <c r="H27" s="473">
        <f t="shared" si="0"/>
        <v>15214589.428651402</v>
      </c>
      <c r="I27" s="474">
        <f>+G27+H27</f>
        <v>49021277.4166462</v>
      </c>
      <c r="J27" s="475"/>
    </row>
    <row r="28" spans="1:10" ht="16.5" thickTop="1">
      <c r="A28" s="407">
        <v>21</v>
      </c>
      <c r="B28" s="462"/>
      <c r="C28" s="462"/>
      <c r="D28" s="462"/>
      <c r="E28" s="462"/>
      <c r="F28" s="462"/>
      <c r="G28" s="458"/>
      <c r="H28" s="462"/>
      <c r="I28" s="458"/>
      <c r="J28" s="462"/>
    </row>
    <row r="29" spans="1:10" ht="15.75">
      <c r="A29" s="407">
        <v>22</v>
      </c>
      <c r="B29" s="411"/>
      <c r="C29" s="411"/>
      <c r="D29" s="411"/>
      <c r="E29" s="411"/>
      <c r="F29" s="411"/>
      <c r="G29" s="411"/>
      <c r="H29" s="411"/>
      <c r="I29" s="411"/>
      <c r="J29" s="411"/>
    </row>
    <row r="30" spans="1:10" ht="15.75">
      <c r="A30" s="407">
        <v>23</v>
      </c>
      <c r="B30" s="442" t="s">
        <v>265</v>
      </c>
      <c r="C30" s="443"/>
      <c r="D30" s="443"/>
      <c r="E30" s="443"/>
      <c r="F30" s="443"/>
      <c r="G30" s="443"/>
      <c r="H30" s="443"/>
      <c r="I30" s="443"/>
      <c r="J30" s="411"/>
    </row>
    <row r="31" spans="1:9" ht="15.75">
      <c r="A31" s="407">
        <v>24</v>
      </c>
      <c r="B31" s="436"/>
      <c r="C31" s="478"/>
      <c r="D31" s="479"/>
      <c r="E31" s="479"/>
      <c r="F31" s="479"/>
      <c r="G31" s="480"/>
      <c r="H31" s="481"/>
      <c r="I31" s="481"/>
    </row>
    <row r="32" spans="1:9" ht="15.75">
      <c r="A32" s="407">
        <v>25</v>
      </c>
      <c r="B32" s="402"/>
      <c r="C32" s="403" t="s">
        <v>100</v>
      </c>
      <c r="D32" s="404" t="s">
        <v>7</v>
      </c>
      <c r="E32" s="404" t="s">
        <v>4</v>
      </c>
      <c r="F32" s="404" t="s">
        <v>4</v>
      </c>
      <c r="G32" s="405" t="s">
        <v>75</v>
      </c>
      <c r="H32" s="406" t="s">
        <v>100</v>
      </c>
      <c r="I32" s="406" t="s">
        <v>17</v>
      </c>
    </row>
    <row r="33" spans="1:9" ht="15.75">
      <c r="A33" s="407">
        <v>26</v>
      </c>
      <c r="B33" s="445"/>
      <c r="C33" s="446"/>
      <c r="D33" s="447"/>
      <c r="E33" s="447"/>
      <c r="F33" s="447"/>
      <c r="G33" s="448"/>
      <c r="H33" s="449"/>
      <c r="I33" s="450"/>
    </row>
    <row r="34" spans="1:9" ht="15.75">
      <c r="A34" s="407">
        <v>27</v>
      </c>
      <c r="B34" s="411" t="s">
        <v>263</v>
      </c>
      <c r="C34" s="451">
        <v>434866609.23391837</v>
      </c>
      <c r="D34" s="452">
        <v>13738310</v>
      </c>
      <c r="E34" s="452">
        <v>0</v>
      </c>
      <c r="F34" s="452">
        <v>0</v>
      </c>
      <c r="G34" s="431">
        <f>SUM(C34:F34)</f>
        <v>448604919.23391837</v>
      </c>
      <c r="H34" s="414">
        <v>47281236.93608098</v>
      </c>
      <c r="I34" s="428">
        <f>+G34+H34</f>
        <v>495886156.16999936</v>
      </c>
    </row>
    <row r="35" spans="1:9" ht="15.75">
      <c r="A35" s="407">
        <v>28</v>
      </c>
      <c r="B35" s="411" t="s">
        <v>15</v>
      </c>
      <c r="C35" s="453">
        <f>SUM(C34:C34)</f>
        <v>434866609.23391837</v>
      </c>
      <c r="D35" s="454">
        <f>SUM(D34:D34)</f>
        <v>13738310</v>
      </c>
      <c r="E35" s="454">
        <f>SUM(E34:E34)</f>
        <v>0</v>
      </c>
      <c r="F35" s="464">
        <f>SUM(F34:F34)</f>
        <v>0</v>
      </c>
      <c r="G35" s="455" t="s">
        <v>77</v>
      </c>
      <c r="H35" s="426">
        <f>SUM(H34:H34)</f>
        <v>47281236.93608098</v>
      </c>
      <c r="I35" s="426"/>
    </row>
    <row r="36" spans="1:9" ht="15.75">
      <c r="A36" s="407">
        <v>29</v>
      </c>
      <c r="B36" s="411"/>
      <c r="C36" s="456"/>
      <c r="D36" s="457"/>
      <c r="E36" s="457"/>
      <c r="F36" s="458"/>
      <c r="G36" s="431"/>
      <c r="H36" s="459"/>
      <c r="I36" s="428"/>
    </row>
    <row r="37" spans="1:9" ht="15.75">
      <c r="A37" s="407">
        <v>30</v>
      </c>
      <c r="B37" s="411" t="s">
        <v>253</v>
      </c>
      <c r="C37" s="456">
        <f>+C15</f>
        <v>0.9541</v>
      </c>
      <c r="D37" s="457">
        <f>+D15</f>
        <v>0.0657721978273902</v>
      </c>
      <c r="E37" s="457">
        <f>+E15</f>
        <v>1</v>
      </c>
      <c r="F37" s="457">
        <f>+F15</f>
        <v>1</v>
      </c>
      <c r="G37" s="460" t="s">
        <v>77</v>
      </c>
      <c r="H37" s="459">
        <f>+H15</f>
        <v>0.9673</v>
      </c>
      <c r="I37" s="428"/>
    </row>
    <row r="38" spans="1:9" ht="15.75">
      <c r="A38" s="407">
        <v>31</v>
      </c>
      <c r="B38" s="411"/>
      <c r="C38" s="461"/>
      <c r="D38" s="462"/>
      <c r="E38" s="462"/>
      <c r="F38" s="458"/>
      <c r="G38" s="460"/>
      <c r="H38" s="450"/>
      <c r="I38" s="428"/>
    </row>
    <row r="39" spans="1:9" ht="15.75">
      <c r="A39" s="407">
        <v>32</v>
      </c>
      <c r="B39" s="411" t="s">
        <v>16</v>
      </c>
      <c r="C39" s="463">
        <f>+C35*C37</f>
        <v>414906231.8700815</v>
      </c>
      <c r="D39" s="464">
        <f>+D35*D37</f>
        <v>903598.8431340131</v>
      </c>
      <c r="E39" s="464">
        <f>+E35*E37</f>
        <v>0</v>
      </c>
      <c r="F39" s="464">
        <f>+F35*F37</f>
        <v>0</v>
      </c>
      <c r="G39" s="455" t="s">
        <v>77</v>
      </c>
      <c r="H39" s="421">
        <f>+H35*H37</f>
        <v>45735140.48827113</v>
      </c>
      <c r="I39" s="426"/>
    </row>
    <row r="40" spans="1:9" ht="15.75">
      <c r="A40" s="407">
        <v>33</v>
      </c>
      <c r="B40" s="411"/>
      <c r="C40" s="461"/>
      <c r="D40" s="462"/>
      <c r="E40" s="462"/>
      <c r="F40" s="458"/>
      <c r="G40" s="460"/>
      <c r="H40" s="450"/>
      <c r="I40" s="428"/>
    </row>
    <row r="41" spans="1:9" ht="15.75">
      <c r="A41" s="407">
        <v>34</v>
      </c>
      <c r="B41" s="411" t="s">
        <v>254</v>
      </c>
      <c r="C41" s="465">
        <f>+C19</f>
        <v>10.932</v>
      </c>
      <c r="D41" s="466">
        <f>+D19</f>
        <v>304.948</v>
      </c>
      <c r="E41" s="466">
        <f>+E19</f>
        <v>11.62</v>
      </c>
      <c r="F41" s="466">
        <f>+F19</f>
        <v>11.3722</v>
      </c>
      <c r="G41" s="467" t="s">
        <v>77</v>
      </c>
      <c r="H41" s="468">
        <f>+H19</f>
        <v>11.366</v>
      </c>
      <c r="I41" s="468"/>
    </row>
    <row r="42" spans="1:9" ht="15.75">
      <c r="A42" s="407">
        <v>35</v>
      </c>
      <c r="B42" s="411"/>
      <c r="C42" s="461"/>
      <c r="D42" s="462"/>
      <c r="E42" s="469"/>
      <c r="F42" s="469"/>
      <c r="G42" s="431"/>
      <c r="H42" s="450"/>
      <c r="I42" s="428"/>
    </row>
    <row r="43" spans="1:9" ht="15.75">
      <c r="A43" s="407">
        <v>36</v>
      </c>
      <c r="B43" s="411" t="s">
        <v>18</v>
      </c>
      <c r="C43" s="463">
        <f>+C39*C41/1000</f>
        <v>4535754.926803731</v>
      </c>
      <c r="D43" s="464">
        <f>+D39*D41/1000</f>
        <v>275550.660016031</v>
      </c>
      <c r="E43" s="464">
        <f>+E39*E41/1000/12*3</f>
        <v>0</v>
      </c>
      <c r="F43" s="464">
        <f>+F39*F41/1000/12*9</f>
        <v>0</v>
      </c>
      <c r="G43" s="425">
        <f>SUM(C43:F43)</f>
        <v>4811305.586819762</v>
      </c>
      <c r="H43" s="421">
        <f>+H39*H41/1000</f>
        <v>519825.6067896897</v>
      </c>
      <c r="I43" s="426">
        <f>+G43+H43</f>
        <v>5331131.193609452</v>
      </c>
    </row>
    <row r="44" spans="1:9" ht="15.75">
      <c r="A44" s="407">
        <v>37</v>
      </c>
      <c r="B44" s="411"/>
      <c r="C44" s="451"/>
      <c r="D44" s="452"/>
      <c r="E44" s="452"/>
      <c r="F44" s="452"/>
      <c r="G44" s="427"/>
      <c r="H44" s="414"/>
      <c r="I44" s="428"/>
    </row>
    <row r="45" spans="1:9" ht="15.75">
      <c r="A45" s="407">
        <v>38</v>
      </c>
      <c r="B45" s="411" t="s">
        <v>21</v>
      </c>
      <c r="C45" s="451"/>
      <c r="D45" s="452"/>
      <c r="E45" s="452"/>
      <c r="F45" s="458"/>
      <c r="G45" s="431">
        <f>SUM(C45:F45)</f>
        <v>0</v>
      </c>
      <c r="H45" s="414"/>
      <c r="I45" s="428">
        <f>+G45+H45</f>
        <v>0</v>
      </c>
    </row>
    <row r="46" spans="1:9" ht="15.75">
      <c r="A46" s="407">
        <v>39</v>
      </c>
      <c r="B46" s="411" t="s">
        <v>264</v>
      </c>
      <c r="C46" s="451"/>
      <c r="D46" s="452"/>
      <c r="E46" s="452"/>
      <c r="F46" s="458"/>
      <c r="G46" s="431">
        <f>SUM(C46:F46)</f>
        <v>0</v>
      </c>
      <c r="H46" s="414"/>
      <c r="I46" s="428">
        <f>+G46+H46</f>
        <v>0</v>
      </c>
    </row>
    <row r="47" spans="1:9" ht="15.75">
      <c r="A47" s="407">
        <v>40</v>
      </c>
      <c r="B47" s="432" t="s">
        <v>20</v>
      </c>
      <c r="C47" s="451"/>
      <c r="D47" s="452"/>
      <c r="E47" s="452"/>
      <c r="F47" s="458"/>
      <c r="G47" s="431">
        <f>SUM(C47:F47)</f>
        <v>0</v>
      </c>
      <c r="H47" s="414"/>
      <c r="I47" s="428">
        <f>+G47+H47</f>
        <v>0</v>
      </c>
    </row>
    <row r="48" spans="1:9" ht="15.75">
      <c r="A48" s="407">
        <v>41</v>
      </c>
      <c r="B48" s="432"/>
      <c r="C48" s="451"/>
      <c r="D48" s="452"/>
      <c r="E48" s="452"/>
      <c r="F48" s="458"/>
      <c r="G48" s="431"/>
      <c r="H48" s="414"/>
      <c r="I48" s="470"/>
    </row>
    <row r="49" spans="1:9" ht="16.5" thickBot="1">
      <c r="A49" s="407">
        <v>42</v>
      </c>
      <c r="B49" s="432" t="s">
        <v>19</v>
      </c>
      <c r="C49" s="471">
        <f aca="true" t="shared" si="1" ref="C49:H49">SUM(C43:C47)</f>
        <v>4535754.926803731</v>
      </c>
      <c r="D49" s="472">
        <f t="shared" si="1"/>
        <v>275550.660016031</v>
      </c>
      <c r="E49" s="472">
        <f t="shared" si="1"/>
        <v>0</v>
      </c>
      <c r="F49" s="472">
        <f t="shared" si="1"/>
        <v>0</v>
      </c>
      <c r="G49" s="472">
        <f t="shared" si="1"/>
        <v>4811305.586819762</v>
      </c>
      <c r="H49" s="473">
        <f t="shared" si="1"/>
        <v>519825.6067896897</v>
      </c>
      <c r="I49" s="474">
        <f>+G49+H49</f>
        <v>5331131.193609452</v>
      </c>
    </row>
    <row r="50" spans="1:9" ht="16.5" thickTop="1">
      <c r="A50" s="407">
        <v>43</v>
      </c>
      <c r="B50" s="462"/>
      <c r="C50" s="462"/>
      <c r="D50" s="462"/>
      <c r="E50" s="462"/>
      <c r="F50" s="462"/>
      <c r="G50" s="458"/>
      <c r="H50" s="462"/>
      <c r="I50" s="458"/>
    </row>
    <row r="51" ht="15.75">
      <c r="A51" s="407">
        <v>44</v>
      </c>
    </row>
    <row r="52" spans="1:9" ht="15.75">
      <c r="A52" s="407">
        <v>45</v>
      </c>
      <c r="B52" s="442" t="s">
        <v>82</v>
      </c>
      <c r="C52" s="443"/>
      <c r="D52" s="443"/>
      <c r="E52" s="443"/>
      <c r="F52" s="443"/>
      <c r="G52" s="443"/>
      <c r="H52" s="443"/>
      <c r="I52" s="443"/>
    </row>
    <row r="53" spans="1:9" ht="15.75">
      <c r="A53" s="407">
        <v>46</v>
      </c>
      <c r="B53" s="436"/>
      <c r="C53" s="478"/>
      <c r="D53" s="479"/>
      <c r="E53" s="479"/>
      <c r="F53" s="479"/>
      <c r="G53" s="480"/>
      <c r="H53" s="481"/>
      <c r="I53" s="481"/>
    </row>
    <row r="54" spans="1:9" ht="15.75">
      <c r="A54" s="407">
        <v>47</v>
      </c>
      <c r="B54" s="402"/>
      <c r="C54" s="403" t="s">
        <v>100</v>
      </c>
      <c r="D54" s="404" t="s">
        <v>7</v>
      </c>
      <c r="E54" s="404" t="s">
        <v>4</v>
      </c>
      <c r="F54" s="404" t="s">
        <v>4</v>
      </c>
      <c r="G54" s="405" t="s">
        <v>75</v>
      </c>
      <c r="H54" s="406" t="s">
        <v>100</v>
      </c>
      <c r="I54" s="406" t="s">
        <v>17</v>
      </c>
    </row>
    <row r="55" spans="1:9" ht="15.75">
      <c r="A55" s="407">
        <v>48</v>
      </c>
      <c r="B55" s="445"/>
      <c r="C55" s="446"/>
      <c r="D55" s="447"/>
      <c r="E55" s="447"/>
      <c r="F55" s="447"/>
      <c r="G55" s="448"/>
      <c r="H55" s="449"/>
      <c r="I55" s="450"/>
    </row>
    <row r="56" spans="1:9" ht="16.5" thickBot="1">
      <c r="A56" s="407">
        <v>49</v>
      </c>
      <c r="B56" s="432" t="s">
        <v>83</v>
      </c>
      <c r="C56" s="471">
        <f aca="true" t="shared" si="2" ref="C56:I56">+C27+C49</f>
        <v>29125066.33325453</v>
      </c>
      <c r="D56" s="472">
        <f t="shared" si="2"/>
        <v>8847315.911560033</v>
      </c>
      <c r="E56" s="472">
        <f t="shared" si="2"/>
        <v>331170</v>
      </c>
      <c r="F56" s="472">
        <f t="shared" si="2"/>
        <v>314441.33</v>
      </c>
      <c r="G56" s="482">
        <f t="shared" si="2"/>
        <v>38617993.57481456</v>
      </c>
      <c r="H56" s="473">
        <f t="shared" si="2"/>
        <v>15734415.035441091</v>
      </c>
      <c r="I56" s="474">
        <f t="shared" si="2"/>
        <v>54352408.61025565</v>
      </c>
    </row>
    <row r="57" spans="1:9" ht="16.5" thickTop="1">
      <c r="A57" s="407">
        <v>50</v>
      </c>
      <c r="B57" s="483"/>
      <c r="C57" s="462"/>
      <c r="D57" s="462"/>
      <c r="E57" s="462"/>
      <c r="F57" s="462"/>
      <c r="G57" s="477"/>
      <c r="H57" s="476"/>
      <c r="I57" s="477"/>
    </row>
  </sheetData>
  <sheetProtection/>
  <printOptions horizontalCentered="1" verticalCentered="1"/>
  <pageMargins left="0.5" right="0.5" top="0.5" bottom="0.5" header="0.3" footer="0.3"/>
  <pageSetup horizontalDpi="600" verticalDpi="600" orientation="landscape" scale="78" r:id="rId1"/>
  <rowBreaks count="2" manualBreakCount="2">
    <brk id="29" max="8" man="1"/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6">
      <selection activeCell="F55" sqref="F55"/>
    </sheetView>
  </sheetViews>
  <sheetFormatPr defaultColWidth="9.140625" defaultRowHeight="12.75"/>
  <cols>
    <col min="1" max="1" width="6.00390625" style="110" customWidth="1"/>
    <col min="2" max="2" width="16.140625" style="110" customWidth="1"/>
    <col min="3" max="3" width="15.7109375" style="110" bestFit="1" customWidth="1"/>
    <col min="4" max="4" width="17.28125" style="110" bestFit="1" customWidth="1"/>
    <col min="5" max="5" width="13.28125" style="110" customWidth="1"/>
    <col min="6" max="6" width="16.140625" style="110" customWidth="1"/>
    <col min="7" max="7" width="13.57421875" style="110" customWidth="1"/>
    <col min="8" max="8" width="13.00390625" style="110" bestFit="1" customWidth="1"/>
    <col min="9" max="16384" width="9.140625" style="110" customWidth="1"/>
  </cols>
  <sheetData>
    <row r="1" spans="1:7" ht="12.75">
      <c r="A1" s="2" t="s">
        <v>84</v>
      </c>
      <c r="B1" s="109"/>
      <c r="C1" s="109"/>
      <c r="D1" s="109"/>
      <c r="E1" s="109"/>
      <c r="F1" s="109"/>
      <c r="G1" s="109"/>
    </row>
    <row r="2" spans="1:7" ht="12.75">
      <c r="A2" s="2" t="s">
        <v>22</v>
      </c>
      <c r="B2" s="109"/>
      <c r="C2" s="109"/>
      <c r="D2" s="109"/>
      <c r="E2" s="109"/>
      <c r="F2" s="109"/>
      <c r="G2" s="109"/>
    </row>
    <row r="3" spans="1:7" ht="12.75">
      <c r="A3" s="2" t="s">
        <v>288</v>
      </c>
      <c r="B3" s="109"/>
      <c r="C3" s="109"/>
      <c r="D3" s="109"/>
      <c r="E3" s="109"/>
      <c r="F3" s="109"/>
      <c r="G3" s="109"/>
    </row>
    <row r="4" spans="1:7" ht="12.75">
      <c r="A4" s="111" t="s">
        <v>287</v>
      </c>
      <c r="B4" s="3"/>
      <c r="C4" s="3"/>
      <c r="D4" s="3"/>
      <c r="E4" s="3"/>
      <c r="F4" s="3"/>
      <c r="G4" s="3"/>
    </row>
    <row r="5" spans="1:7" ht="16.5" thickBot="1">
      <c r="A5" s="112"/>
      <c r="B5" s="113"/>
      <c r="C5" s="114"/>
      <c r="D5" s="114"/>
      <c r="E5" s="114"/>
      <c r="F5" s="115"/>
      <c r="G5" s="114"/>
    </row>
    <row r="6" spans="1:7" ht="13.5" thickTop="1">
      <c r="A6" s="4"/>
      <c r="B6" s="116"/>
      <c r="C6" s="4"/>
      <c r="D6" s="4"/>
      <c r="E6" s="117"/>
      <c r="F6" s="4"/>
      <c r="G6" s="118"/>
    </row>
    <row r="7" spans="1:7" ht="12.75">
      <c r="A7" s="144"/>
      <c r="B7" s="144" t="s">
        <v>67</v>
      </c>
      <c r="C7" s="119" t="s">
        <v>68</v>
      </c>
      <c r="D7" s="119" t="s">
        <v>69</v>
      </c>
      <c r="E7" s="120" t="s">
        <v>70</v>
      </c>
      <c r="F7" s="119" t="s">
        <v>71</v>
      </c>
      <c r="G7" s="5" t="s">
        <v>72</v>
      </c>
    </row>
    <row r="8" spans="1:7" ht="12.75">
      <c r="A8" s="4"/>
      <c r="B8" s="4"/>
      <c r="C8" s="121"/>
      <c r="D8" s="123"/>
      <c r="E8" s="122"/>
      <c r="F8" s="4"/>
      <c r="G8" s="124" t="s">
        <v>171</v>
      </c>
    </row>
    <row r="9" spans="1:7" ht="12.75">
      <c r="A9" s="4"/>
      <c r="B9" s="125"/>
      <c r="C9" s="126" t="s">
        <v>172</v>
      </c>
      <c r="D9" s="126" t="s">
        <v>61</v>
      </c>
      <c r="E9" s="127" t="s">
        <v>173</v>
      </c>
      <c r="F9" s="126" t="s">
        <v>174</v>
      </c>
      <c r="G9" s="128" t="s">
        <v>175</v>
      </c>
    </row>
    <row r="10" spans="1:7" ht="12.75">
      <c r="A10" s="4"/>
      <c r="B10" s="129"/>
      <c r="C10" s="130" t="s">
        <v>176</v>
      </c>
      <c r="D10" s="130" t="s">
        <v>176</v>
      </c>
      <c r="E10" s="131" t="s">
        <v>177</v>
      </c>
      <c r="F10" s="130" t="s">
        <v>178</v>
      </c>
      <c r="G10" s="132"/>
    </row>
    <row r="11" spans="1:7" ht="13.5" thickBot="1">
      <c r="A11" s="133"/>
      <c r="B11" s="134" t="s">
        <v>26</v>
      </c>
      <c r="C11" s="135" t="s">
        <v>180</v>
      </c>
      <c r="D11" s="135" t="s">
        <v>181</v>
      </c>
      <c r="E11" s="136" t="s">
        <v>283</v>
      </c>
      <c r="F11" s="137"/>
      <c r="G11" s="138" t="s">
        <v>284</v>
      </c>
    </row>
    <row r="12" spans="1:7" ht="13.5" thickTop="1">
      <c r="A12" s="119" t="s">
        <v>184</v>
      </c>
      <c r="B12" s="139" t="s">
        <v>34</v>
      </c>
      <c r="C12" s="140">
        <v>2878</v>
      </c>
      <c r="D12" s="140">
        <v>2706</v>
      </c>
      <c r="E12" s="141">
        <v>0.9402</v>
      </c>
      <c r="F12" s="180">
        <v>33.46</v>
      </c>
      <c r="G12" s="143">
        <f>ROUND(F12/D12*1000,2)</f>
        <v>12.37</v>
      </c>
    </row>
    <row r="13" spans="1:7" ht="12.75">
      <c r="A13" s="144"/>
      <c r="B13" s="4"/>
      <c r="C13" s="4"/>
      <c r="D13" s="4"/>
      <c r="E13" s="57"/>
      <c r="F13" s="176"/>
      <c r="G13" s="7"/>
    </row>
    <row r="14" spans="1:7" ht="12.75">
      <c r="A14" s="119" t="s">
        <v>185</v>
      </c>
      <c r="B14" s="139" t="s">
        <v>35</v>
      </c>
      <c r="C14" s="140">
        <v>176837</v>
      </c>
      <c r="D14" s="140">
        <v>169056</v>
      </c>
      <c r="E14" s="141">
        <v>0.956</v>
      </c>
      <c r="F14" s="180">
        <v>1570.91</v>
      </c>
      <c r="G14" s="143">
        <f>ROUND(F14/D14*1000,2)</f>
        <v>9.29</v>
      </c>
    </row>
    <row r="15" spans="1:7" ht="12.75">
      <c r="A15" s="144"/>
      <c r="B15" s="4"/>
      <c r="C15" s="4"/>
      <c r="D15" s="4"/>
      <c r="E15" s="57"/>
      <c r="F15" s="176"/>
      <c r="G15" s="7"/>
    </row>
    <row r="16" spans="1:7" ht="12.75">
      <c r="A16" s="119" t="s">
        <v>186</v>
      </c>
      <c r="B16" s="139" t="s">
        <v>36</v>
      </c>
      <c r="C16" s="140">
        <v>66265872</v>
      </c>
      <c r="D16" s="140">
        <v>63616407</v>
      </c>
      <c r="E16" s="141">
        <v>0.96</v>
      </c>
      <c r="F16" s="180">
        <v>762748.09</v>
      </c>
      <c r="G16" s="143">
        <f>ROUND(F16/D16*1000,2)</f>
        <v>11.99</v>
      </c>
    </row>
    <row r="17" spans="1:7" ht="12.75">
      <c r="A17" s="144"/>
      <c r="B17" s="4"/>
      <c r="C17" s="4"/>
      <c r="D17" s="4"/>
      <c r="E17" s="57"/>
      <c r="F17" s="176"/>
      <c r="G17" s="7"/>
    </row>
    <row r="18" spans="1:7" ht="12.75">
      <c r="A18" s="119">
        <v>4</v>
      </c>
      <c r="B18" s="139" t="s">
        <v>37</v>
      </c>
      <c r="C18" s="140">
        <v>81197402</v>
      </c>
      <c r="D18" s="140">
        <v>79869188</v>
      </c>
      <c r="E18" s="141">
        <v>0.9836</v>
      </c>
      <c r="F18" s="180">
        <v>942160.74</v>
      </c>
      <c r="G18" s="143">
        <f>ROUND(F18/D18*1000,2)</f>
        <v>11.8</v>
      </c>
    </row>
    <row r="19" spans="1:7" ht="12.75">
      <c r="A19" s="144"/>
      <c r="B19" s="4"/>
      <c r="C19" s="4"/>
      <c r="D19" s="4"/>
      <c r="E19" s="57"/>
      <c r="F19" s="176"/>
      <c r="G19" s="7"/>
    </row>
    <row r="20" spans="1:7" ht="12.75">
      <c r="A20" s="119">
        <v>5</v>
      </c>
      <c r="B20" s="139" t="s">
        <v>38</v>
      </c>
      <c r="C20" s="140">
        <v>216273</v>
      </c>
      <c r="D20" s="140">
        <v>203296</v>
      </c>
      <c r="E20" s="141">
        <v>0.94</v>
      </c>
      <c r="F20" s="180">
        <v>2274.89</v>
      </c>
      <c r="G20" s="143">
        <f>ROUND(F20/D20*1000,2)</f>
        <v>11.19</v>
      </c>
    </row>
    <row r="21" spans="1:7" ht="12.75">
      <c r="A21" s="144"/>
      <c r="B21" s="4"/>
      <c r="C21" s="4"/>
      <c r="D21" s="4"/>
      <c r="E21" s="57"/>
      <c r="F21" s="176"/>
      <c r="G21" s="7"/>
    </row>
    <row r="22" spans="1:7" ht="12.75">
      <c r="A22" s="144">
        <v>6</v>
      </c>
      <c r="B22" s="139" t="s">
        <v>285</v>
      </c>
      <c r="C22" s="140">
        <v>82593</v>
      </c>
      <c r="D22" s="140">
        <v>77142</v>
      </c>
      <c r="E22" s="141">
        <v>0.934</v>
      </c>
      <c r="F22" s="180">
        <v>874.68</v>
      </c>
      <c r="G22" s="143">
        <f>ROUND(F22/D22*1000,2)</f>
        <v>11.34</v>
      </c>
    </row>
    <row r="23" spans="1:7" ht="12.75">
      <c r="A23" s="144"/>
      <c r="B23" s="4"/>
      <c r="C23" s="4"/>
      <c r="D23" s="4"/>
      <c r="E23" s="57"/>
      <c r="F23" s="176"/>
      <c r="G23" s="7"/>
    </row>
    <row r="24" spans="1:7" ht="12.75">
      <c r="A24" s="119">
        <v>7</v>
      </c>
      <c r="B24" s="139" t="s">
        <v>39</v>
      </c>
      <c r="C24" s="140">
        <v>1278587</v>
      </c>
      <c r="D24" s="140">
        <v>1258130</v>
      </c>
      <c r="E24" s="141">
        <v>0.984</v>
      </c>
      <c r="F24" s="180">
        <v>13670.9</v>
      </c>
      <c r="G24" s="143">
        <f>ROUND(F24/D24*1000,2)</f>
        <v>10.87</v>
      </c>
    </row>
    <row r="25" spans="1:7" ht="12.75">
      <c r="A25" s="144"/>
      <c r="B25" s="4"/>
      <c r="C25" s="4"/>
      <c r="D25" s="4"/>
      <c r="E25" s="57"/>
      <c r="F25" s="176"/>
      <c r="G25" s="7"/>
    </row>
    <row r="26" spans="1:7" ht="12.75">
      <c r="A26" s="145">
        <v>8</v>
      </c>
      <c r="B26" s="139" t="s">
        <v>40</v>
      </c>
      <c r="C26" s="140">
        <v>34465282</v>
      </c>
      <c r="D26" s="140">
        <v>31071918</v>
      </c>
      <c r="E26" s="141">
        <v>0.9015</v>
      </c>
      <c r="F26" s="180">
        <v>249210.1</v>
      </c>
      <c r="G26" s="143">
        <f>ROUND(F26/D26*1000,2)</f>
        <v>8.02</v>
      </c>
    </row>
    <row r="27" spans="1:7" ht="12.75">
      <c r="A27" s="144"/>
      <c r="B27" s="4"/>
      <c r="C27" s="4"/>
      <c r="D27" s="4"/>
      <c r="E27" s="57"/>
      <c r="F27" s="176"/>
      <c r="G27" s="7"/>
    </row>
    <row r="28" spans="1:7" ht="12.75">
      <c r="A28" s="145">
        <v>9</v>
      </c>
      <c r="B28" s="139" t="s">
        <v>41</v>
      </c>
      <c r="C28" s="140">
        <v>23247915</v>
      </c>
      <c r="D28" s="140">
        <v>22454624</v>
      </c>
      <c r="E28" s="141">
        <v>0.9659</v>
      </c>
      <c r="F28" s="180">
        <v>192843.68</v>
      </c>
      <c r="G28" s="143">
        <f>ROUND(F28/D28*1000,2)</f>
        <v>8.59</v>
      </c>
    </row>
    <row r="29" spans="1:7" ht="12.75">
      <c r="A29" s="144"/>
      <c r="B29" s="4"/>
      <c r="C29" s="4"/>
      <c r="D29" s="4"/>
      <c r="E29" s="57"/>
      <c r="F29" s="176"/>
      <c r="G29" s="7"/>
    </row>
    <row r="30" spans="1:7" ht="12.75">
      <c r="A30" s="145">
        <v>10</v>
      </c>
      <c r="B30" s="139" t="s">
        <v>42</v>
      </c>
      <c r="C30" s="140">
        <v>864978532</v>
      </c>
      <c r="D30" s="140">
        <v>830662454</v>
      </c>
      <c r="E30" s="141">
        <v>0.9603</v>
      </c>
      <c r="F30" s="180">
        <v>9451950.235999998</v>
      </c>
      <c r="G30" s="143">
        <f>ROUND(F30/D30*1000,2)</f>
        <v>11.38</v>
      </c>
    </row>
    <row r="31" spans="1:7" ht="12.75">
      <c r="A31" s="144"/>
      <c r="B31" s="4"/>
      <c r="C31" s="4"/>
      <c r="D31" s="4"/>
      <c r="E31" s="57"/>
      <c r="F31" s="176"/>
      <c r="G31" s="7"/>
    </row>
    <row r="32" spans="1:7" ht="12.75">
      <c r="A32" s="145">
        <v>11</v>
      </c>
      <c r="B32" s="139" t="s">
        <v>43</v>
      </c>
      <c r="C32" s="140">
        <v>126094062</v>
      </c>
      <c r="D32" s="140">
        <v>121828111</v>
      </c>
      <c r="E32" s="141">
        <v>0.9662</v>
      </c>
      <c r="F32" s="180">
        <v>1329066.88</v>
      </c>
      <c r="G32" s="143">
        <f>ROUND(F32/D32*1000,2)</f>
        <v>10.91</v>
      </c>
    </row>
    <row r="33" spans="1:7" ht="12.75">
      <c r="A33" s="144"/>
      <c r="B33" s="4"/>
      <c r="C33" s="4"/>
      <c r="D33" s="4"/>
      <c r="E33" s="57"/>
      <c r="F33" s="176"/>
      <c r="G33" s="7"/>
    </row>
    <row r="34" spans="1:7" ht="12.75">
      <c r="A34" s="145">
        <v>12</v>
      </c>
      <c r="B34" s="139" t="s">
        <v>44</v>
      </c>
      <c r="C34" s="140">
        <v>190172816</v>
      </c>
      <c r="D34" s="140">
        <v>188185127</v>
      </c>
      <c r="E34" s="141">
        <v>0.9895</v>
      </c>
      <c r="F34" s="180">
        <v>1519734.78</v>
      </c>
      <c r="G34" s="143">
        <f>ROUND(F34/D34*1000,2)</f>
        <v>8.08</v>
      </c>
    </row>
    <row r="35" spans="1:7" ht="12.75">
      <c r="A35" s="144"/>
      <c r="B35" s="4"/>
      <c r="C35" s="4"/>
      <c r="D35" s="4"/>
      <c r="E35" s="57"/>
      <c r="F35" s="176"/>
      <c r="G35" s="7"/>
    </row>
    <row r="36" spans="1:7" ht="12.75">
      <c r="A36" s="145">
        <v>13</v>
      </c>
      <c r="B36" s="139" t="s">
        <v>47</v>
      </c>
      <c r="C36" s="140">
        <v>3296222</v>
      </c>
      <c r="D36" s="140">
        <v>3036542</v>
      </c>
      <c r="E36" s="141">
        <v>0.9212</v>
      </c>
      <c r="F36" s="180">
        <v>32434.75</v>
      </c>
      <c r="G36" s="143">
        <f>ROUND(F36/D36*1000,2)</f>
        <v>10.68</v>
      </c>
    </row>
    <row r="37" spans="1:7" ht="12.75">
      <c r="A37" s="144"/>
      <c r="B37" s="4"/>
      <c r="C37" s="4"/>
      <c r="D37" s="4"/>
      <c r="E37" s="57"/>
      <c r="F37" s="176"/>
      <c r="G37" s="7"/>
    </row>
    <row r="38" spans="1:7" ht="12.75">
      <c r="A38" s="144">
        <v>14</v>
      </c>
      <c r="B38" s="4" t="s">
        <v>46</v>
      </c>
      <c r="C38" s="146">
        <v>120824900</v>
      </c>
      <c r="D38" s="146">
        <v>120824899</v>
      </c>
      <c r="E38" s="141">
        <v>1</v>
      </c>
      <c r="F38" s="176">
        <v>1223902.13</v>
      </c>
      <c r="G38" s="143">
        <f>ROUND(F38/D38*1000,2)</f>
        <v>10.13</v>
      </c>
    </row>
    <row r="39" spans="1:7" ht="12.75">
      <c r="A39" s="144"/>
      <c r="B39" s="4"/>
      <c r="C39" s="4"/>
      <c r="D39" s="4"/>
      <c r="E39" s="57"/>
      <c r="F39" s="176"/>
      <c r="G39" s="7"/>
    </row>
    <row r="40" spans="1:7" ht="12.75">
      <c r="A40" s="145">
        <v>15</v>
      </c>
      <c r="B40" s="139" t="s">
        <v>48</v>
      </c>
      <c r="C40" s="140">
        <v>228515702</v>
      </c>
      <c r="D40" s="140">
        <v>209147000</v>
      </c>
      <c r="E40" s="141">
        <v>0.9152</v>
      </c>
      <c r="F40" s="180">
        <v>2658691.09</v>
      </c>
      <c r="G40" s="143">
        <f>ROUND(F40/D40*1000,2)</f>
        <v>12.71</v>
      </c>
    </row>
    <row r="41" spans="1:7" ht="12.75">
      <c r="A41" s="144"/>
      <c r="B41" s="4"/>
      <c r="C41" s="4"/>
      <c r="D41" s="4"/>
      <c r="E41" s="57"/>
      <c r="F41" s="176"/>
      <c r="G41" s="7"/>
    </row>
    <row r="42" spans="1:7" ht="12.75">
      <c r="A42" s="145">
        <v>16</v>
      </c>
      <c r="B42" s="139" t="s">
        <v>49</v>
      </c>
      <c r="C42" s="140">
        <v>159835450</v>
      </c>
      <c r="D42" s="140">
        <v>154408524</v>
      </c>
      <c r="E42" s="141">
        <v>0.966</v>
      </c>
      <c r="F42" s="180">
        <v>1657267.5</v>
      </c>
      <c r="G42" s="143">
        <f>ROUND(F42/D42*1000,2)</f>
        <v>10.73</v>
      </c>
    </row>
    <row r="43" spans="1:7" ht="12.75">
      <c r="A43" s="144"/>
      <c r="B43" s="4"/>
      <c r="C43" s="4"/>
      <c r="D43" s="4"/>
      <c r="E43" s="57"/>
      <c r="F43" s="176"/>
      <c r="G43" s="7"/>
    </row>
    <row r="44" spans="1:7" ht="12.75">
      <c r="A44" s="145">
        <v>17</v>
      </c>
      <c r="B44" s="139" t="s">
        <v>50</v>
      </c>
      <c r="C44" s="140">
        <v>10150552</v>
      </c>
      <c r="D44" s="140">
        <v>10041899</v>
      </c>
      <c r="E44" s="141">
        <v>0.9893</v>
      </c>
      <c r="F44" s="180">
        <v>120168.69</v>
      </c>
      <c r="G44" s="143">
        <f>ROUND(F44/D44*1000,2)</f>
        <v>11.97</v>
      </c>
    </row>
    <row r="45" spans="1:7" ht="12.75">
      <c r="A45" s="144"/>
      <c r="B45" s="4"/>
      <c r="C45" s="4"/>
      <c r="D45" s="4"/>
      <c r="E45" s="57"/>
      <c r="F45" s="176"/>
      <c r="G45" s="7"/>
    </row>
    <row r="46" spans="1:7" ht="12.75">
      <c r="A46" s="145">
        <v>18</v>
      </c>
      <c r="B46" s="139" t="s">
        <v>52</v>
      </c>
      <c r="C46" s="140">
        <v>130396071</v>
      </c>
      <c r="D46" s="140">
        <v>125126969</v>
      </c>
      <c r="E46" s="141">
        <v>0.9596</v>
      </c>
      <c r="F46" s="180">
        <v>1461764.19</v>
      </c>
      <c r="G46" s="143">
        <f>ROUND(F46/D46*1000,2)</f>
        <v>11.68</v>
      </c>
    </row>
    <row r="47" spans="1:7" ht="12.75">
      <c r="A47" s="144"/>
      <c r="B47" s="4"/>
      <c r="C47" s="4"/>
      <c r="D47" s="4"/>
      <c r="E47" s="57"/>
      <c r="F47" s="176"/>
      <c r="G47" s="7"/>
    </row>
    <row r="48" spans="1:7" ht="12.75">
      <c r="A48" s="145">
        <v>19</v>
      </c>
      <c r="B48" s="139" t="s">
        <v>53</v>
      </c>
      <c r="C48" s="140">
        <v>278361055</v>
      </c>
      <c r="D48" s="140">
        <v>251152533</v>
      </c>
      <c r="E48" s="141">
        <v>0.9023</v>
      </c>
      <c r="F48" s="180">
        <v>2573154.44</v>
      </c>
      <c r="G48" s="143">
        <f>ROUND(F48/D48*1000,2)</f>
        <v>10.25</v>
      </c>
    </row>
    <row r="49" spans="1:7" ht="12.75">
      <c r="A49" s="145"/>
      <c r="B49" s="139"/>
      <c r="C49" s="140"/>
      <c r="D49" s="140"/>
      <c r="E49" s="141"/>
      <c r="F49" s="180"/>
      <c r="G49" s="143"/>
    </row>
    <row r="50" spans="1:7" ht="12.75">
      <c r="A50" s="145"/>
      <c r="B50" s="139"/>
      <c r="C50" s="140"/>
      <c r="D50" s="140"/>
      <c r="E50" s="141"/>
      <c r="F50" s="180"/>
      <c r="G50" s="143"/>
    </row>
    <row r="51" spans="1:7" ht="12.75">
      <c r="A51" s="4"/>
      <c r="B51" s="4"/>
      <c r="C51" s="147"/>
      <c r="D51" s="55"/>
      <c r="E51" s="148"/>
      <c r="F51" s="332"/>
      <c r="G51" s="149"/>
    </row>
    <row r="52" spans="1:7" ht="13.5" thickBot="1">
      <c r="A52" s="150" t="s">
        <v>187</v>
      </c>
      <c r="B52" s="4"/>
      <c r="C52" s="151">
        <f>SUM(C12:C51)</f>
        <v>2319559001</v>
      </c>
      <c r="D52" s="151">
        <f>SUM(D12:D51)</f>
        <v>2213136525</v>
      </c>
      <c r="E52" s="152">
        <f>ROUND(D52/C52,4)</f>
        <v>0.9541</v>
      </c>
      <c r="F52" s="333">
        <f>SUM(F12:F51)</f>
        <v>24193522.136</v>
      </c>
      <c r="G52" s="153">
        <f>F52/D52*1000</f>
        <v>10.93178024161885</v>
      </c>
    </row>
    <row r="53" spans="1:7" ht="13.5" thickTop="1">
      <c r="A53" s="139"/>
      <c r="B53" s="4"/>
      <c r="C53" s="151"/>
      <c r="D53" s="151"/>
      <c r="E53" s="141"/>
      <c r="F53" s="334"/>
      <c r="G53" s="155"/>
    </row>
    <row r="54" spans="1:7" ht="12.75">
      <c r="A54" s="4"/>
      <c r="B54" s="4"/>
      <c r="C54" s="146"/>
      <c r="D54" s="146"/>
      <c r="E54" s="156"/>
      <c r="F54" s="176"/>
      <c r="G54" s="157"/>
    </row>
    <row r="55" spans="1:7" ht="12.75">
      <c r="A55" s="139"/>
      <c r="C55" s="4"/>
      <c r="D55" s="4" t="s">
        <v>188</v>
      </c>
      <c r="E55" s="4"/>
      <c r="F55" s="180">
        <v>91967.5</v>
      </c>
      <c r="G55" s="9"/>
    </row>
    <row r="56" spans="1:7" ht="12.75">
      <c r="A56" s="158"/>
      <c r="C56" s="6"/>
      <c r="D56" s="159" t="s">
        <v>286</v>
      </c>
      <c r="E56" s="4"/>
      <c r="F56" s="334">
        <v>218699.97</v>
      </c>
      <c r="G56" s="160"/>
    </row>
    <row r="57" spans="1:7" ht="13.5" thickBot="1">
      <c r="A57" s="139"/>
      <c r="C57" s="4"/>
      <c r="D57" s="9"/>
      <c r="E57" s="4"/>
      <c r="F57" s="335">
        <f>SUM(F54:F56)</f>
        <v>310667.47</v>
      </c>
      <c r="G57" s="9"/>
    </row>
    <row r="58" spans="1:7" ht="13.5" thickTop="1">
      <c r="A58" s="4"/>
      <c r="C58" s="4"/>
      <c r="D58" s="9"/>
      <c r="E58" s="4"/>
      <c r="F58" s="154"/>
      <c r="G58" s="9"/>
    </row>
    <row r="59" spans="1:7" ht="12.75">
      <c r="A59" s="158"/>
      <c r="C59" s="4"/>
      <c r="D59" s="9"/>
      <c r="E59" s="4"/>
      <c r="F59" s="154"/>
      <c r="G59" s="9"/>
    </row>
    <row r="60" spans="1:7" ht="12.75">
      <c r="A60" s="4"/>
      <c r="B60" s="4"/>
      <c r="C60" s="140"/>
      <c r="D60" s="4"/>
      <c r="E60" s="4"/>
      <c r="F60" s="154"/>
      <c r="G60" s="9"/>
    </row>
    <row r="61" spans="1:7" ht="12.75">
      <c r="A61" s="4"/>
      <c r="B61" s="4"/>
      <c r="C61" s="140"/>
      <c r="D61" s="4"/>
      <c r="E61" s="4"/>
      <c r="F61" s="4"/>
      <c r="G61" s="4"/>
    </row>
    <row r="63" ht="12">
      <c r="C63" s="161"/>
    </row>
  </sheetData>
  <sheetProtection/>
  <printOptions/>
  <pageMargins left="0.59" right="0" top="0.57" bottom="0.25" header="0.22" footer="0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"/>
    </sheetView>
  </sheetViews>
  <sheetFormatPr defaultColWidth="13.00390625" defaultRowHeight="12.75"/>
  <cols>
    <col min="1" max="1" width="22.28125" style="293" customWidth="1"/>
    <col min="2" max="8" width="13.00390625" style="293" customWidth="1"/>
    <col min="9" max="9" width="13.7109375" style="293" customWidth="1"/>
    <col min="10" max="16384" width="13.00390625" style="293" customWidth="1"/>
  </cols>
  <sheetData>
    <row r="1" spans="1:9" ht="12.75">
      <c r="A1" s="2" t="s">
        <v>84</v>
      </c>
      <c r="B1" s="292"/>
      <c r="C1" s="292"/>
      <c r="D1" s="292"/>
      <c r="E1" s="292"/>
      <c r="F1" s="292"/>
      <c r="G1" s="292"/>
      <c r="H1" s="292"/>
      <c r="I1" s="292"/>
    </row>
    <row r="2" spans="1:9" ht="12.75">
      <c r="A2" s="2" t="s">
        <v>22</v>
      </c>
      <c r="B2" s="292"/>
      <c r="C2" s="292"/>
      <c r="D2" s="292"/>
      <c r="E2" s="292"/>
      <c r="F2" s="292"/>
      <c r="G2" s="292"/>
      <c r="H2" s="292"/>
      <c r="I2" s="292"/>
    </row>
    <row r="3" spans="1:9" ht="12.75">
      <c r="A3" s="2" t="s">
        <v>293</v>
      </c>
      <c r="B3" s="292"/>
      <c r="C3" s="292"/>
      <c r="D3" s="292"/>
      <c r="E3" s="292"/>
      <c r="F3" s="292"/>
      <c r="G3" s="292"/>
      <c r="H3" s="292"/>
      <c r="I3" s="292"/>
    </row>
    <row r="4" spans="1:9" ht="12.75">
      <c r="A4" s="244" t="s">
        <v>196</v>
      </c>
      <c r="B4" s="292"/>
      <c r="C4" s="292"/>
      <c r="D4" s="292"/>
      <c r="E4" s="292"/>
      <c r="F4" s="292"/>
      <c r="G4" s="292"/>
      <c r="H4" s="292"/>
      <c r="I4" s="292"/>
    </row>
    <row r="5" ht="12.75">
      <c r="I5" s="294"/>
    </row>
    <row r="6" spans="5:9" ht="12.75">
      <c r="E6" s="295"/>
      <c r="F6" s="295"/>
      <c r="G6" s="295"/>
      <c r="H6" s="295"/>
      <c r="I6" s="296"/>
    </row>
    <row r="7" spans="2:9" ht="12.75">
      <c r="B7" s="297" t="s">
        <v>245</v>
      </c>
      <c r="C7" s="298"/>
      <c r="D7" s="299"/>
      <c r="E7" s="299"/>
      <c r="F7" s="297" t="s">
        <v>243</v>
      </c>
      <c r="G7" s="300"/>
      <c r="H7" s="301"/>
      <c r="I7" s="302"/>
    </row>
    <row r="8" spans="2:9" ht="12.75">
      <c r="B8" s="303"/>
      <c r="C8" s="295"/>
      <c r="D8" s="295"/>
      <c r="E8" s="296"/>
      <c r="F8" s="304"/>
      <c r="G8" s="295"/>
      <c r="H8" s="305"/>
      <c r="I8" s="306"/>
    </row>
    <row r="9" spans="1:9" ht="25.5">
      <c r="A9" s="307" t="s">
        <v>26</v>
      </c>
      <c r="B9" s="325" t="s">
        <v>219</v>
      </c>
      <c r="C9" s="326" t="s">
        <v>220</v>
      </c>
      <c r="D9" s="326" t="s">
        <v>221</v>
      </c>
      <c r="E9" s="327" t="s">
        <v>244</v>
      </c>
      <c r="F9" s="328" t="s">
        <v>222</v>
      </c>
      <c r="G9" s="327" t="s">
        <v>221</v>
      </c>
      <c r="H9" s="329" t="s">
        <v>223</v>
      </c>
      <c r="I9" s="330" t="s">
        <v>246</v>
      </c>
    </row>
    <row r="10" spans="1:10" ht="12.75">
      <c r="A10" s="294" t="s">
        <v>224</v>
      </c>
      <c r="B10" s="308">
        <v>5161</v>
      </c>
      <c r="C10" s="308">
        <v>332832</v>
      </c>
      <c r="D10" s="309">
        <v>0</v>
      </c>
      <c r="E10" s="309">
        <f>+SUM(B10:D10)</f>
        <v>337993</v>
      </c>
      <c r="F10" s="336">
        <v>149446.2</v>
      </c>
      <c r="G10" s="308">
        <v>0</v>
      </c>
      <c r="H10" s="337">
        <f aca="true" t="shared" si="0" ref="H10:H24">F10+G10</f>
        <v>149446.2</v>
      </c>
      <c r="I10" s="344">
        <f>+H10/SUM(B10:D10)*1000</f>
        <v>442.15767782173003</v>
      </c>
      <c r="J10" s="310"/>
    </row>
    <row r="11" spans="1:10" ht="12.75">
      <c r="A11" s="294" t="s">
        <v>225</v>
      </c>
      <c r="B11" s="308">
        <v>3920</v>
      </c>
      <c r="C11" s="308">
        <v>393966</v>
      </c>
      <c r="D11" s="309">
        <v>146556</v>
      </c>
      <c r="E11" s="309">
        <f aca="true" t="shared" si="1" ref="E11:E30">+SUM(B11:D11)</f>
        <v>544442</v>
      </c>
      <c r="F11" s="336">
        <v>188816.80475</v>
      </c>
      <c r="G11" s="338">
        <v>69547.67525</v>
      </c>
      <c r="H11" s="337">
        <f t="shared" si="0"/>
        <v>258364.48</v>
      </c>
      <c r="I11" s="344">
        <f aca="true" t="shared" si="2" ref="I11:I31">+H11/SUM(B11:D11)*1000</f>
        <v>474.5491347104008</v>
      </c>
      <c r="J11" s="311"/>
    </row>
    <row r="12" spans="1:10" ht="12.75">
      <c r="A12" s="294" t="s">
        <v>226</v>
      </c>
      <c r="B12" s="308">
        <v>3445</v>
      </c>
      <c r="C12" s="308">
        <v>0</v>
      </c>
      <c r="D12" s="309">
        <v>0</v>
      </c>
      <c r="E12" s="309">
        <f t="shared" si="1"/>
        <v>3445</v>
      </c>
      <c r="F12" s="336">
        <v>2001.1</v>
      </c>
      <c r="G12" s="308">
        <v>0</v>
      </c>
      <c r="H12" s="337">
        <f t="shared" si="0"/>
        <v>2001.1</v>
      </c>
      <c r="I12" s="344">
        <f t="shared" si="2"/>
        <v>580.8708272859217</v>
      </c>
      <c r="J12" s="311"/>
    </row>
    <row r="13" spans="1:10" ht="12.75">
      <c r="A13" s="294" t="s">
        <v>227</v>
      </c>
      <c r="B13" s="308">
        <v>0</v>
      </c>
      <c r="C13" s="308">
        <v>349912</v>
      </c>
      <c r="D13" s="309">
        <v>0</v>
      </c>
      <c r="E13" s="309">
        <f t="shared" si="1"/>
        <v>349912</v>
      </c>
      <c r="F13" s="336">
        <v>142778.5</v>
      </c>
      <c r="G13" s="308">
        <v>0</v>
      </c>
      <c r="H13" s="337">
        <f t="shared" si="0"/>
        <v>142778.5</v>
      </c>
      <c r="I13" s="344">
        <f t="shared" si="2"/>
        <v>408.0411646356799</v>
      </c>
      <c r="J13" s="311"/>
    </row>
    <row r="14" spans="1:10" ht="12.75">
      <c r="A14" s="294" t="s">
        <v>228</v>
      </c>
      <c r="B14" s="308">
        <v>0</v>
      </c>
      <c r="C14" s="308">
        <v>0</v>
      </c>
      <c r="D14" s="309">
        <v>407160</v>
      </c>
      <c r="E14" s="309">
        <f t="shared" si="1"/>
        <v>407160</v>
      </c>
      <c r="F14" s="339">
        <v>0</v>
      </c>
      <c r="G14" s="340">
        <v>208376.81</v>
      </c>
      <c r="H14" s="337">
        <f t="shared" si="0"/>
        <v>208376.81</v>
      </c>
      <c r="I14" s="344">
        <f t="shared" si="2"/>
        <v>511.7811425483839</v>
      </c>
      <c r="J14" s="311"/>
    </row>
    <row r="15" spans="1:10" ht="12.75">
      <c r="A15" s="294" t="s">
        <v>229</v>
      </c>
      <c r="B15" s="308">
        <v>19</v>
      </c>
      <c r="C15" s="308">
        <v>0</v>
      </c>
      <c r="D15" s="309">
        <v>0</v>
      </c>
      <c r="E15" s="309">
        <f t="shared" si="1"/>
        <v>19</v>
      </c>
      <c r="F15" s="336">
        <v>8.94</v>
      </c>
      <c r="G15" s="308">
        <v>0</v>
      </c>
      <c r="H15" s="337">
        <f t="shared" si="0"/>
        <v>8.94</v>
      </c>
      <c r="I15" s="344">
        <f t="shared" si="2"/>
        <v>470.5263157894737</v>
      </c>
      <c r="J15" s="311"/>
    </row>
    <row r="16" spans="1:10" ht="12.75">
      <c r="A16" s="294" t="s">
        <v>41</v>
      </c>
      <c r="B16" s="308">
        <v>0</v>
      </c>
      <c r="C16" s="308">
        <v>0</v>
      </c>
      <c r="D16" s="309">
        <v>382608</v>
      </c>
      <c r="E16" s="309">
        <f t="shared" si="1"/>
        <v>382608</v>
      </c>
      <c r="F16" s="339">
        <v>0</v>
      </c>
      <c r="G16" s="340">
        <v>198152.58</v>
      </c>
      <c r="H16" s="337">
        <f t="shared" si="0"/>
        <v>198152.58</v>
      </c>
      <c r="I16" s="344">
        <f t="shared" si="2"/>
        <v>517.8997302722368</v>
      </c>
      <c r="J16" s="311"/>
    </row>
    <row r="17" spans="1:10" ht="12.75">
      <c r="A17" s="294" t="s">
        <v>230</v>
      </c>
      <c r="B17" s="308">
        <v>4074</v>
      </c>
      <c r="C17" s="308">
        <v>0</v>
      </c>
      <c r="D17" s="309">
        <v>0</v>
      </c>
      <c r="E17" s="309">
        <f t="shared" si="1"/>
        <v>4074</v>
      </c>
      <c r="F17" s="336">
        <v>2617.58</v>
      </c>
      <c r="G17" s="308">
        <v>0</v>
      </c>
      <c r="H17" s="337">
        <f t="shared" si="0"/>
        <v>2617.58</v>
      </c>
      <c r="I17" s="344">
        <f t="shared" si="2"/>
        <v>642.5085910652921</v>
      </c>
      <c r="J17" s="311"/>
    </row>
    <row r="18" spans="1:10" ht="12.75">
      <c r="A18" s="294" t="s">
        <v>231</v>
      </c>
      <c r="B18" s="308">
        <v>13436</v>
      </c>
      <c r="C18" s="308">
        <v>823144</v>
      </c>
      <c r="D18" s="309">
        <v>0</v>
      </c>
      <c r="E18" s="309">
        <f t="shared" si="1"/>
        <v>836580</v>
      </c>
      <c r="F18" s="336">
        <v>359536.62</v>
      </c>
      <c r="G18" s="308">
        <v>0</v>
      </c>
      <c r="H18" s="337">
        <f t="shared" si="0"/>
        <v>359536.62</v>
      </c>
      <c r="I18" s="344">
        <f t="shared" si="2"/>
        <v>429.76956178727676</v>
      </c>
      <c r="J18" s="311"/>
    </row>
    <row r="19" spans="1:10" ht="12.75">
      <c r="A19" s="294" t="s">
        <v>232</v>
      </c>
      <c r="B19" s="308">
        <v>0</v>
      </c>
      <c r="C19" s="308">
        <v>0</v>
      </c>
      <c r="D19" s="309">
        <v>702027</v>
      </c>
      <c r="E19" s="309">
        <f t="shared" si="1"/>
        <v>702027</v>
      </c>
      <c r="F19" s="339">
        <v>0</v>
      </c>
      <c r="G19" s="340">
        <v>404206.52</v>
      </c>
      <c r="H19" s="337">
        <f t="shared" si="0"/>
        <v>404206.52</v>
      </c>
      <c r="I19" s="344">
        <f t="shared" si="2"/>
        <v>575.7706185089747</v>
      </c>
      <c r="J19" s="311"/>
    </row>
    <row r="20" spans="1:10" ht="12.75">
      <c r="A20" s="294" t="s">
        <v>233</v>
      </c>
      <c r="B20" s="308">
        <v>0</v>
      </c>
      <c r="C20" s="308">
        <v>0</v>
      </c>
      <c r="D20" s="309">
        <v>526350</v>
      </c>
      <c r="E20" s="309">
        <f t="shared" si="1"/>
        <v>526350</v>
      </c>
      <c r="F20" s="339">
        <v>0</v>
      </c>
      <c r="G20" s="340">
        <v>286887.93</v>
      </c>
      <c r="H20" s="337">
        <f t="shared" si="0"/>
        <v>286887.93</v>
      </c>
      <c r="I20" s="344">
        <f t="shared" si="2"/>
        <v>545.0516386434881</v>
      </c>
      <c r="J20" s="311"/>
    </row>
    <row r="21" spans="1:10" ht="12.75">
      <c r="A21" s="294" t="s">
        <v>234</v>
      </c>
      <c r="B21" s="308">
        <v>6485</v>
      </c>
      <c r="C21" s="308">
        <v>0</v>
      </c>
      <c r="D21" s="309">
        <v>0</v>
      </c>
      <c r="E21" s="309">
        <f t="shared" si="1"/>
        <v>6485</v>
      </c>
      <c r="F21" s="336">
        <v>2986.44</v>
      </c>
      <c r="G21" s="308">
        <v>0</v>
      </c>
      <c r="H21" s="337">
        <f t="shared" si="0"/>
        <v>2986.44</v>
      </c>
      <c r="I21" s="344">
        <f t="shared" si="2"/>
        <v>460.51503469545105</v>
      </c>
      <c r="J21" s="311"/>
    </row>
    <row r="22" spans="1:10" ht="12.75">
      <c r="A22" s="294" t="s">
        <v>235</v>
      </c>
      <c r="B22" s="308">
        <v>13879</v>
      </c>
      <c r="C22" s="308">
        <v>0</v>
      </c>
      <c r="D22" s="309">
        <v>331827</v>
      </c>
      <c r="E22" s="309">
        <f t="shared" si="1"/>
        <v>345706</v>
      </c>
      <c r="F22" s="341">
        <v>6884.197290000011</v>
      </c>
      <c r="G22" s="338">
        <v>162729.21271</v>
      </c>
      <c r="H22" s="337">
        <f t="shared" si="0"/>
        <v>169613.41</v>
      </c>
      <c r="I22" s="344">
        <f t="shared" si="2"/>
        <v>490.6290605312028</v>
      </c>
      <c r="J22" s="311"/>
    </row>
    <row r="23" spans="1:10" ht="12.75">
      <c r="A23" s="294" t="s">
        <v>236</v>
      </c>
      <c r="B23" s="308">
        <v>18168390</v>
      </c>
      <c r="C23" s="308">
        <v>358083</v>
      </c>
      <c r="D23" s="309">
        <v>0</v>
      </c>
      <c r="E23" s="309">
        <f t="shared" si="1"/>
        <v>18526473</v>
      </c>
      <c r="F23" s="336">
        <v>4780473.67</v>
      </c>
      <c r="G23" s="308">
        <v>0</v>
      </c>
      <c r="H23" s="337">
        <f t="shared" si="0"/>
        <v>4780473.67</v>
      </c>
      <c r="I23" s="344">
        <f t="shared" si="2"/>
        <v>258.0347414211005</v>
      </c>
      <c r="J23" s="311"/>
    </row>
    <row r="24" spans="1:10" ht="12.75">
      <c r="A24" s="294" t="s">
        <v>236</v>
      </c>
      <c r="B24" s="308">
        <v>12752</v>
      </c>
      <c r="C24" s="308">
        <v>0</v>
      </c>
      <c r="D24" s="309">
        <v>0</v>
      </c>
      <c r="E24" s="309">
        <f t="shared" si="1"/>
        <v>12752</v>
      </c>
      <c r="F24" s="336">
        <v>0</v>
      </c>
      <c r="G24" s="308">
        <v>0</v>
      </c>
      <c r="H24" s="337">
        <f t="shared" si="0"/>
        <v>0</v>
      </c>
      <c r="I24" s="344">
        <f t="shared" si="2"/>
        <v>0</v>
      </c>
      <c r="J24" s="311"/>
    </row>
    <row r="25" spans="1:10" ht="12.75">
      <c r="A25" s="294" t="s">
        <v>237</v>
      </c>
      <c r="B25" s="308">
        <v>1662987</v>
      </c>
      <c r="C25" s="331">
        <v>0</v>
      </c>
      <c r="D25" s="309">
        <v>0</v>
      </c>
      <c r="E25" s="309">
        <f t="shared" si="1"/>
        <v>1662987</v>
      </c>
      <c r="F25" s="343">
        <v>0</v>
      </c>
      <c r="G25" s="340">
        <v>0</v>
      </c>
      <c r="H25" s="337">
        <v>0</v>
      </c>
      <c r="I25" s="344">
        <f t="shared" si="2"/>
        <v>0</v>
      </c>
      <c r="J25" s="311"/>
    </row>
    <row r="26" spans="1:10" ht="12.75">
      <c r="A26" s="294" t="s">
        <v>238</v>
      </c>
      <c r="B26" s="308">
        <v>15006</v>
      </c>
      <c r="C26" s="308">
        <v>0</v>
      </c>
      <c r="D26" s="309">
        <v>0</v>
      </c>
      <c r="E26" s="309">
        <f t="shared" si="1"/>
        <v>15006</v>
      </c>
      <c r="F26" s="336">
        <v>10883.12</v>
      </c>
      <c r="G26" s="308">
        <v>0</v>
      </c>
      <c r="H26" s="337">
        <f>F26+G26</f>
        <v>10883.12</v>
      </c>
      <c r="I26" s="344">
        <f t="shared" si="2"/>
        <v>725.2512328401973</v>
      </c>
      <c r="J26" s="311"/>
    </row>
    <row r="27" spans="1:10" ht="12.75">
      <c r="A27" s="294" t="s">
        <v>239</v>
      </c>
      <c r="B27" s="308">
        <v>5444</v>
      </c>
      <c r="C27" s="308">
        <v>395537</v>
      </c>
      <c r="D27" s="309">
        <v>0</v>
      </c>
      <c r="E27" s="309">
        <f t="shared" si="1"/>
        <v>400981</v>
      </c>
      <c r="F27" s="341">
        <v>154268.39</v>
      </c>
      <c r="G27" s="308">
        <v>0</v>
      </c>
      <c r="H27" s="337">
        <f>F27+G27</f>
        <v>154268.39</v>
      </c>
      <c r="I27" s="344">
        <f t="shared" si="2"/>
        <v>384.7274309755325</v>
      </c>
      <c r="J27" s="311"/>
    </row>
    <row r="28" spans="1:10" ht="12.75">
      <c r="A28" s="294" t="s">
        <v>240</v>
      </c>
      <c r="B28" s="308">
        <v>0</v>
      </c>
      <c r="C28" s="308">
        <v>394876</v>
      </c>
      <c r="D28" s="309">
        <v>0</v>
      </c>
      <c r="E28" s="309">
        <f t="shared" si="1"/>
        <v>394876</v>
      </c>
      <c r="F28" s="336">
        <v>175411.82</v>
      </c>
      <c r="G28" s="308">
        <v>0</v>
      </c>
      <c r="H28" s="337">
        <f>F28+G28</f>
        <v>175411.82</v>
      </c>
      <c r="I28" s="344">
        <f t="shared" si="2"/>
        <v>444.2200083064051</v>
      </c>
      <c r="J28" s="311"/>
    </row>
    <row r="29" spans="1:10" ht="12.75">
      <c r="A29" s="294" t="s">
        <v>241</v>
      </c>
      <c r="B29" s="308">
        <v>6547</v>
      </c>
      <c r="C29" s="308">
        <v>636201</v>
      </c>
      <c r="D29" s="309">
        <v>0</v>
      </c>
      <c r="E29" s="309">
        <f t="shared" si="1"/>
        <v>642748</v>
      </c>
      <c r="F29" s="336">
        <v>265880.88</v>
      </c>
      <c r="G29" s="308">
        <v>0</v>
      </c>
      <c r="H29" s="337">
        <f>F29+G29</f>
        <v>265880.88</v>
      </c>
      <c r="I29" s="344">
        <f t="shared" si="2"/>
        <v>413.66271073577826</v>
      </c>
      <c r="J29" s="311"/>
    </row>
    <row r="30" spans="1:10" ht="12.75">
      <c r="A30" s="294" t="s">
        <v>242</v>
      </c>
      <c r="B30" s="308">
        <v>696390</v>
      </c>
      <c r="C30" s="308">
        <v>1288264</v>
      </c>
      <c r="D30" s="309">
        <v>0</v>
      </c>
      <c r="E30" s="309">
        <f t="shared" si="1"/>
        <v>1984654</v>
      </c>
      <c r="F30" s="336">
        <v>993288.3</v>
      </c>
      <c r="G30" s="308">
        <v>0</v>
      </c>
      <c r="H30" s="337">
        <f>F30+G30</f>
        <v>993288.3</v>
      </c>
      <c r="I30" s="344">
        <f t="shared" si="2"/>
        <v>500.4843665444959</v>
      </c>
      <c r="J30" s="311"/>
    </row>
    <row r="31" spans="2:10" ht="12.75">
      <c r="B31" s="312">
        <f aca="true" t="shared" si="3" ref="B31:H31">SUM(B10:B30)</f>
        <v>20617935</v>
      </c>
      <c r="C31" s="312">
        <f t="shared" si="3"/>
        <v>4972815</v>
      </c>
      <c r="D31" s="312">
        <f t="shared" si="3"/>
        <v>2496528</v>
      </c>
      <c r="E31" s="313">
        <f>SUM(E10:E30)</f>
        <v>28087278</v>
      </c>
      <c r="F31" s="342">
        <f t="shared" si="3"/>
        <v>7235282.562039999</v>
      </c>
      <c r="G31" s="312">
        <f t="shared" si="3"/>
        <v>1329900.7279599998</v>
      </c>
      <c r="H31" s="312">
        <f t="shared" si="3"/>
        <v>8565183.29</v>
      </c>
      <c r="I31" s="345">
        <f t="shared" si="2"/>
        <v>304.94885584854467</v>
      </c>
      <c r="J31" s="311"/>
    </row>
    <row r="32" spans="1:8" ht="12.75">
      <c r="A32" s="294"/>
      <c r="B32" s="314"/>
      <c r="C32" s="314"/>
      <c r="D32" s="294"/>
      <c r="E32" s="294"/>
      <c r="F32" s="314"/>
      <c r="G32" s="314"/>
      <c r="H32" s="314"/>
    </row>
  </sheetData>
  <sheetProtection/>
  <printOptions/>
  <pageMargins left="0.77" right="0.65" top="0.91" bottom="0.66" header="0" footer="0"/>
  <pageSetup fitToHeight="1" fitToWidth="1" horizontalDpi="300" verticalDpi="300" orientation="portrait" scale="72" r:id="rId1"/>
  <headerFooter alignWithMargins="0"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2">
      <selection activeCell="A4" sqref="A4"/>
    </sheetView>
  </sheetViews>
  <sheetFormatPr defaultColWidth="9.140625" defaultRowHeight="12.75"/>
  <cols>
    <col min="1" max="1" width="10.28125" style="243" bestFit="1" customWidth="1"/>
    <col min="2" max="2" width="14.8515625" style="243" bestFit="1" customWidth="1"/>
    <col min="3" max="3" width="11.28125" style="243" bestFit="1" customWidth="1"/>
    <col min="4" max="4" width="10.7109375" style="243" bestFit="1" customWidth="1"/>
    <col min="5" max="5" width="12.28125" style="243" bestFit="1" customWidth="1"/>
    <col min="6" max="6" width="13.421875" style="243" bestFit="1" customWidth="1"/>
    <col min="7" max="7" width="10.7109375" style="243" bestFit="1" customWidth="1"/>
    <col min="8" max="8" width="7.57421875" style="243" bestFit="1" customWidth="1"/>
    <col min="9" max="16384" width="9.140625" style="243" customWidth="1"/>
  </cols>
  <sheetData>
    <row r="1" spans="1:8" ht="12.75">
      <c r="A1" s="2" t="s">
        <v>84</v>
      </c>
      <c r="B1" s="245"/>
      <c r="C1" s="245"/>
      <c r="D1" s="245"/>
      <c r="E1" s="245"/>
      <c r="F1" s="245"/>
      <c r="G1" s="245"/>
      <c r="H1" s="245"/>
    </row>
    <row r="2" spans="1:8" ht="12.75">
      <c r="A2" s="2" t="s">
        <v>22</v>
      </c>
      <c r="B2" s="245"/>
      <c r="C2" s="245"/>
      <c r="D2" s="245"/>
      <c r="E2" s="245"/>
      <c r="F2" s="245"/>
      <c r="G2" s="245"/>
      <c r="H2" s="245"/>
    </row>
    <row r="3" spans="1:8" ht="12.75">
      <c r="A3" s="2" t="s">
        <v>294</v>
      </c>
      <c r="B3" s="245"/>
      <c r="C3" s="245"/>
      <c r="D3" s="245"/>
      <c r="E3" s="245"/>
      <c r="F3" s="245"/>
      <c r="G3" s="245"/>
      <c r="H3" s="245"/>
    </row>
    <row r="4" spans="1:8" ht="12.75">
      <c r="A4" s="244" t="s">
        <v>196</v>
      </c>
      <c r="B4" s="245"/>
      <c r="C4" s="245"/>
      <c r="D4" s="245"/>
      <c r="E4" s="245"/>
      <c r="F4" s="245"/>
      <c r="G4" s="245"/>
      <c r="H4" s="245"/>
    </row>
    <row r="5" spans="1:8" ht="13.5" thickBot="1">
      <c r="A5" s="246"/>
      <c r="B5" s="246"/>
      <c r="C5" s="246"/>
      <c r="D5" s="246"/>
      <c r="E5" s="246"/>
      <c r="F5" s="246"/>
      <c r="G5" s="246"/>
      <c r="H5" s="246"/>
    </row>
    <row r="6" spans="3:8" ht="13.5" thickTop="1">
      <c r="C6" s="248" t="s">
        <v>197</v>
      </c>
      <c r="D6" s="245"/>
      <c r="E6" s="245"/>
      <c r="F6" s="249" t="s">
        <v>198</v>
      </c>
      <c r="G6" s="250" t="s">
        <v>199</v>
      </c>
      <c r="H6" s="251"/>
    </row>
    <row r="7" spans="1:8" ht="12.75">
      <c r="A7" s="252" t="s">
        <v>200</v>
      </c>
      <c r="B7" s="252" t="s">
        <v>17</v>
      </c>
      <c r="C7" s="253">
        <v>0.03</v>
      </c>
      <c r="D7" s="254">
        <v>0.02</v>
      </c>
      <c r="E7" s="254">
        <v>0</v>
      </c>
      <c r="F7" s="255" t="s">
        <v>201</v>
      </c>
      <c r="G7" s="255" t="s">
        <v>202</v>
      </c>
      <c r="H7" s="256">
        <v>0.03</v>
      </c>
    </row>
    <row r="8" spans="1:8" ht="13.5" thickBot="1">
      <c r="A8" s="246"/>
      <c r="B8" s="257" t="s">
        <v>203</v>
      </c>
      <c r="C8" s="258" t="s">
        <v>202</v>
      </c>
      <c r="D8" s="259" t="s">
        <v>204</v>
      </c>
      <c r="E8" s="260" t="s">
        <v>205</v>
      </c>
      <c r="F8" s="261"/>
      <c r="G8" s="262"/>
      <c r="H8" s="263"/>
    </row>
    <row r="9" spans="2:8" ht="13.5" thickTop="1">
      <c r="B9" s="247"/>
      <c r="C9" s="264"/>
      <c r="E9" s="247"/>
      <c r="F9" s="265"/>
      <c r="G9" s="266"/>
      <c r="H9" s="247"/>
    </row>
    <row r="10" spans="1:8" ht="12.75">
      <c r="A10" s="243" t="s">
        <v>206</v>
      </c>
      <c r="B10" s="267">
        <v>43153.45</v>
      </c>
      <c r="C10" s="268">
        <v>41858.84</v>
      </c>
      <c r="D10" s="269">
        <v>28193.58</v>
      </c>
      <c r="E10" s="267">
        <v>14384.47</v>
      </c>
      <c r="F10" s="270">
        <v>4123600</v>
      </c>
      <c r="G10" s="271">
        <f aca="true" t="shared" si="0" ref="G10:G22">+$B10/$F10*1000</f>
        <v>10.464994179842856</v>
      </c>
      <c r="H10" s="272">
        <f>+G10*0.97</f>
        <v>10.15104435444757</v>
      </c>
    </row>
    <row r="11" spans="1:8" ht="12.75">
      <c r="A11" s="243" t="s">
        <v>207</v>
      </c>
      <c r="B11" s="267">
        <v>37755.8</v>
      </c>
      <c r="C11" s="273">
        <v>36623.12</v>
      </c>
      <c r="D11" s="273">
        <v>24667.13</v>
      </c>
      <c r="E11" s="267">
        <v>12585.28</v>
      </c>
      <c r="F11" s="274">
        <v>3440800</v>
      </c>
      <c r="G11" s="271">
        <f t="shared" si="0"/>
        <v>10.972971401999535</v>
      </c>
      <c r="H11" s="272">
        <f aca="true" t="shared" si="1" ref="H11:H22">+G11*0.97</f>
        <v>10.643782259939549</v>
      </c>
    </row>
    <row r="12" spans="1:8" ht="12.75">
      <c r="A12" s="243" t="s">
        <v>208</v>
      </c>
      <c r="B12" s="267">
        <v>29663.68</v>
      </c>
      <c r="C12" s="273">
        <v>28773.77</v>
      </c>
      <c r="D12" s="273">
        <v>19380.27</v>
      </c>
      <c r="E12" s="267">
        <v>9887.9</v>
      </c>
      <c r="F12" s="274">
        <v>2687900</v>
      </c>
      <c r="G12" s="271">
        <f t="shared" si="0"/>
        <v>11.036005803787344</v>
      </c>
      <c r="H12" s="272">
        <f t="shared" si="1"/>
        <v>10.704925629673722</v>
      </c>
    </row>
    <row r="13" spans="1:8" ht="12.75">
      <c r="A13" s="243" t="s">
        <v>209</v>
      </c>
      <c r="B13" s="267">
        <v>30549.11</v>
      </c>
      <c r="C13" s="273">
        <v>29632.64</v>
      </c>
      <c r="D13" s="273">
        <v>19604.94</v>
      </c>
      <c r="E13" s="267">
        <v>10002.63</v>
      </c>
      <c r="F13" s="274">
        <v>3685800</v>
      </c>
      <c r="G13" s="271">
        <f t="shared" si="0"/>
        <v>8.288325465299257</v>
      </c>
      <c r="H13" s="272">
        <f t="shared" si="1"/>
        <v>8.039675701340279</v>
      </c>
    </row>
    <row r="14" spans="1:8" ht="12.75">
      <c r="A14" s="243" t="s">
        <v>210</v>
      </c>
      <c r="B14" s="267">
        <v>23582.1</v>
      </c>
      <c r="C14" s="273">
        <v>22874.63</v>
      </c>
      <c r="D14" s="273">
        <v>15406.98</v>
      </c>
      <c r="E14" s="267">
        <v>7863.72</v>
      </c>
      <c r="F14" s="274">
        <v>2109400</v>
      </c>
      <c r="G14" s="271">
        <f t="shared" si="0"/>
        <v>11.17952972409216</v>
      </c>
      <c r="H14" s="272">
        <f t="shared" si="1"/>
        <v>10.844143832369394</v>
      </c>
    </row>
    <row r="15" spans="1:8" ht="12.75">
      <c r="A15" s="243" t="s">
        <v>211</v>
      </c>
      <c r="B15" s="267">
        <v>71402.54</v>
      </c>
      <c r="C15" s="273">
        <v>69260.46</v>
      </c>
      <c r="D15" s="273">
        <v>46649.66</v>
      </c>
      <c r="E15" s="267">
        <v>23800.87</v>
      </c>
      <c r="F15" s="274">
        <v>4965600</v>
      </c>
      <c r="G15" s="271">
        <f t="shared" si="0"/>
        <v>14.37943853713549</v>
      </c>
      <c r="H15" s="272">
        <f t="shared" si="1"/>
        <v>13.948055381021424</v>
      </c>
    </row>
    <row r="16" spans="1:8" ht="12.75">
      <c r="A16" s="243" t="s">
        <v>212</v>
      </c>
      <c r="B16" s="267">
        <v>27704.45</v>
      </c>
      <c r="C16" s="273">
        <v>26873.31</v>
      </c>
      <c r="D16" s="273">
        <v>18100.26</v>
      </c>
      <c r="E16" s="267">
        <v>9234.83</v>
      </c>
      <c r="F16" s="274">
        <v>3461700</v>
      </c>
      <c r="G16" s="271">
        <f t="shared" si="0"/>
        <v>8.003134298177196</v>
      </c>
      <c r="H16" s="272">
        <f t="shared" si="1"/>
        <v>7.76304026923188</v>
      </c>
    </row>
    <row r="17" spans="1:8" ht="12.75">
      <c r="A17" s="243" t="s">
        <v>213</v>
      </c>
      <c r="B17" s="267">
        <v>64613.51</v>
      </c>
      <c r="C17" s="273">
        <v>62675.1</v>
      </c>
      <c r="D17" s="273">
        <v>42214.16</v>
      </c>
      <c r="E17" s="267">
        <v>21537.84</v>
      </c>
      <c r="F17" s="274">
        <v>5884600</v>
      </c>
      <c r="G17" s="271">
        <f t="shared" si="0"/>
        <v>10.980102300921049</v>
      </c>
      <c r="H17" s="272">
        <f t="shared" si="1"/>
        <v>10.650699231893416</v>
      </c>
    </row>
    <row r="18" spans="1:8" ht="12.75">
      <c r="A18" s="243" t="s">
        <v>214</v>
      </c>
      <c r="B18" s="267">
        <v>28629.08</v>
      </c>
      <c r="C18" s="273">
        <v>27770.19</v>
      </c>
      <c r="D18" s="273">
        <v>18704.36</v>
      </c>
      <c r="E18" s="267">
        <v>9543.04</v>
      </c>
      <c r="F18" s="274">
        <v>3195500</v>
      </c>
      <c r="G18" s="271">
        <f t="shared" si="0"/>
        <v>8.959186355812863</v>
      </c>
      <c r="H18" s="272">
        <f t="shared" si="1"/>
        <v>8.690410765138477</v>
      </c>
    </row>
    <row r="19" spans="1:8" ht="12.75">
      <c r="A19" s="243" t="s">
        <v>215</v>
      </c>
      <c r="B19" s="267">
        <v>32787.18</v>
      </c>
      <c r="C19" s="273">
        <v>31803.54</v>
      </c>
      <c r="D19" s="273">
        <v>21420.98</v>
      </c>
      <c r="E19" s="267">
        <v>10929.12</v>
      </c>
      <c r="F19" s="274">
        <v>2712100</v>
      </c>
      <c r="G19" s="271">
        <f t="shared" si="0"/>
        <v>12.089222373806276</v>
      </c>
      <c r="H19" s="272">
        <f t="shared" si="1"/>
        <v>11.726545702592087</v>
      </c>
    </row>
    <row r="20" spans="1:8" ht="12.75">
      <c r="A20" s="243" t="s">
        <v>216</v>
      </c>
      <c r="B20" s="267">
        <v>22474.92</v>
      </c>
      <c r="C20" s="273">
        <v>21800.67</v>
      </c>
      <c r="D20" s="273">
        <v>14683.62</v>
      </c>
      <c r="E20" s="267">
        <v>7491.65</v>
      </c>
      <c r="F20" s="274">
        <v>2427600</v>
      </c>
      <c r="G20" s="271">
        <f t="shared" si="0"/>
        <v>9.258082056351952</v>
      </c>
      <c r="H20" s="272">
        <f t="shared" si="1"/>
        <v>8.980339594661393</v>
      </c>
    </row>
    <row r="21" spans="1:8" ht="12.75">
      <c r="A21" s="243" t="s">
        <v>217</v>
      </c>
      <c r="B21" s="267">
        <v>115784.69</v>
      </c>
      <c r="C21" s="273">
        <v>112311.15</v>
      </c>
      <c r="D21" s="273">
        <v>100428.66</v>
      </c>
      <c r="E21" s="267">
        <v>38594.9</v>
      </c>
      <c r="F21" s="274">
        <v>7524400</v>
      </c>
      <c r="G21" s="271">
        <f t="shared" si="0"/>
        <v>15.387896709372175</v>
      </c>
      <c r="H21" s="272">
        <f t="shared" si="1"/>
        <v>14.92625980809101</v>
      </c>
    </row>
    <row r="22" spans="1:8" ht="12.75">
      <c r="A22" s="243" t="s">
        <v>218</v>
      </c>
      <c r="B22" s="275">
        <v>120234.7</v>
      </c>
      <c r="C22" s="276">
        <v>116627.66</v>
      </c>
      <c r="D22" s="276">
        <v>78553.32</v>
      </c>
      <c r="E22" s="275">
        <v>40078.23</v>
      </c>
      <c r="F22" s="277">
        <v>9081000</v>
      </c>
      <c r="G22" s="278">
        <f t="shared" si="0"/>
        <v>13.240248871269685</v>
      </c>
      <c r="H22" s="279">
        <f t="shared" si="1"/>
        <v>12.843041405131594</v>
      </c>
    </row>
    <row r="23" spans="2:8" ht="12.75">
      <c r="B23" s="273"/>
      <c r="C23" s="268"/>
      <c r="D23" s="273"/>
      <c r="E23" s="273"/>
      <c r="F23" s="270"/>
      <c r="G23" s="280"/>
      <c r="H23" s="281"/>
    </row>
    <row r="24" spans="2:8" ht="13.5" thickBot="1">
      <c r="B24" s="282">
        <f>SUM(B10:B23)</f>
        <v>648335.21</v>
      </c>
      <c r="C24" s="346">
        <f>SUM(C10:C23)</f>
        <v>628885.08</v>
      </c>
      <c r="D24" s="273">
        <f>SUM(D10:D23)</f>
        <v>448007.9200000001</v>
      </c>
      <c r="E24" s="273">
        <f>SUM(E10:E23)</f>
        <v>215934.47999999998</v>
      </c>
      <c r="F24" s="270">
        <f>SUM(F10:F23)</f>
        <v>55300000</v>
      </c>
      <c r="G24" s="283">
        <f>+B24/F24*1000</f>
        <v>11.723964014466546</v>
      </c>
      <c r="H24" s="284">
        <f>+C24/F24*1000</f>
        <v>11.37224376130199</v>
      </c>
    </row>
    <row r="25" spans="2:3" ht="13.5" thickTop="1">
      <c r="B25" s="273"/>
      <c r="C25" s="273"/>
    </row>
    <row r="26" spans="1:3" ht="12.75">
      <c r="A26" s="285"/>
      <c r="B26" s="269"/>
      <c r="C26" s="269"/>
    </row>
    <row r="27" spans="1:3" ht="12.75">
      <c r="A27" s="285"/>
      <c r="B27" s="269"/>
      <c r="C27" s="273"/>
    </row>
    <row r="28" spans="1:3" ht="12.75">
      <c r="A28" s="285"/>
      <c r="B28" s="286"/>
      <c r="C28" s="287"/>
    </row>
    <row r="29" spans="2:3" ht="12.75">
      <c r="B29" s="273"/>
      <c r="C29" s="287"/>
    </row>
    <row r="33" ht="12.75">
      <c r="G33" s="273"/>
    </row>
    <row r="34" ht="12.75">
      <c r="G34" s="273"/>
    </row>
  </sheetData>
  <sheetProtection/>
  <printOptions/>
  <pageMargins left="0.51" right="0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pane xSplit="2" ySplit="11" topLeftCell="C12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H35" sqref="H35"/>
    </sheetView>
  </sheetViews>
  <sheetFormatPr defaultColWidth="9.140625" defaultRowHeight="12.75"/>
  <cols>
    <col min="1" max="1" width="5.7109375" style="48" customWidth="1"/>
    <col min="2" max="2" width="14.28125" style="48" customWidth="1"/>
    <col min="3" max="3" width="12.140625" style="48" customWidth="1"/>
    <col min="4" max="4" width="13.28125" style="48" bestFit="1" customWidth="1"/>
    <col min="5" max="5" width="13.421875" style="48" bestFit="1" customWidth="1"/>
    <col min="6" max="6" width="12.8515625" style="48" bestFit="1" customWidth="1"/>
    <col min="7" max="7" width="10.8515625" style="48" customWidth="1"/>
    <col min="8" max="8" width="14.421875" style="48" customWidth="1"/>
    <col min="9" max="9" width="12.140625" style="48" bestFit="1" customWidth="1"/>
    <col min="10" max="16384" width="9.140625" style="48" customWidth="1"/>
  </cols>
  <sheetData>
    <row r="1" spans="1:8" ht="12.75">
      <c r="A1" s="181" t="s">
        <v>57</v>
      </c>
      <c r="B1" s="181"/>
      <c r="C1" s="181"/>
      <c r="D1" s="181"/>
      <c r="E1" s="181"/>
      <c r="F1" s="181"/>
      <c r="G1" s="181"/>
      <c r="H1" s="181"/>
    </row>
    <row r="2" spans="1:8" ht="12.75">
      <c r="A2" s="181" t="s">
        <v>22</v>
      </c>
      <c r="B2" s="181"/>
      <c r="C2" s="181"/>
      <c r="D2" s="181"/>
      <c r="E2" s="181"/>
      <c r="F2" s="181"/>
      <c r="G2" s="181"/>
      <c r="H2" s="181"/>
    </row>
    <row r="3" spans="1:8" ht="12.75">
      <c r="A3" s="181" t="s">
        <v>292</v>
      </c>
      <c r="B3" s="181"/>
      <c r="C3" s="181"/>
      <c r="D3" s="181"/>
      <c r="E3" s="181"/>
      <c r="F3" s="181"/>
      <c r="G3" s="181"/>
      <c r="H3" s="181"/>
    </row>
    <row r="4" spans="1:8" ht="12.75">
      <c r="A4" s="182" t="s">
        <v>287</v>
      </c>
      <c r="B4" s="182"/>
      <c r="C4" s="182"/>
      <c r="D4" s="182"/>
      <c r="E4" s="182"/>
      <c r="F4" s="182"/>
      <c r="G4" s="182"/>
      <c r="H4" s="182"/>
    </row>
    <row r="5" spans="1:8" ht="12.75">
      <c r="A5" s="206"/>
      <c r="B5" s="206"/>
      <c r="C5" s="206"/>
      <c r="D5" s="206"/>
      <c r="E5" s="206"/>
      <c r="F5" s="206"/>
      <c r="G5" s="206"/>
      <c r="H5" s="206"/>
    </row>
    <row r="6" spans="1:8" ht="12.75">
      <c r="A6" s="206"/>
      <c r="B6" s="206"/>
      <c r="C6" s="206"/>
      <c r="D6" s="206"/>
      <c r="E6" s="206"/>
      <c r="F6" s="206"/>
      <c r="G6" s="206"/>
      <c r="H6" s="206"/>
    </row>
    <row r="7" spans="1:8" ht="13.5" thickBot="1">
      <c r="A7" s="183"/>
      <c r="B7" s="207" t="s">
        <v>67</v>
      </c>
      <c r="C7" s="184" t="s">
        <v>68</v>
      </c>
      <c r="D7" s="184" t="s">
        <v>69</v>
      </c>
      <c r="E7" s="184" t="s">
        <v>70</v>
      </c>
      <c r="F7" s="184" t="s">
        <v>71</v>
      </c>
      <c r="G7" s="184" t="s">
        <v>72</v>
      </c>
      <c r="H7" s="184" t="s">
        <v>73</v>
      </c>
    </row>
    <row r="8" spans="1:8" ht="13.5" thickTop="1">
      <c r="A8" s="185"/>
      <c r="B8" s="53"/>
      <c r="C8" s="53"/>
      <c r="D8" s="53"/>
      <c r="E8" s="186" t="s">
        <v>23</v>
      </c>
      <c r="F8" s="186" t="s">
        <v>24</v>
      </c>
      <c r="G8" s="186"/>
      <c r="H8" s="187"/>
    </row>
    <row r="9" spans="1:8" ht="12.75">
      <c r="A9" s="188" t="s">
        <v>25</v>
      </c>
      <c r="B9" s="189" t="s">
        <v>26</v>
      </c>
      <c r="C9" s="190" t="s">
        <v>27</v>
      </c>
      <c r="D9" s="191"/>
      <c r="E9" s="192" t="s">
        <v>28</v>
      </c>
      <c r="F9" s="192" t="s">
        <v>29</v>
      </c>
      <c r="G9" s="192" t="s">
        <v>30</v>
      </c>
      <c r="H9" s="193" t="s">
        <v>31</v>
      </c>
    </row>
    <row r="10" spans="1:8" ht="12.75">
      <c r="A10" s="194"/>
      <c r="B10" s="53"/>
      <c r="C10" s="195" t="s">
        <v>32</v>
      </c>
      <c r="D10" s="195" t="s">
        <v>33</v>
      </c>
      <c r="E10" s="192" t="s">
        <v>5</v>
      </c>
      <c r="F10" s="192" t="s">
        <v>5</v>
      </c>
      <c r="G10" s="192"/>
      <c r="H10" s="208"/>
    </row>
    <row r="11" spans="1:8" ht="13.5" thickBot="1">
      <c r="A11" s="196"/>
      <c r="B11" s="197"/>
      <c r="C11" s="198"/>
      <c r="D11" s="198"/>
      <c r="E11" s="199" t="s">
        <v>194</v>
      </c>
      <c r="F11" s="199"/>
      <c r="G11" s="199"/>
      <c r="H11" s="199" t="s">
        <v>195</v>
      </c>
    </row>
    <row r="12" spans="1:8" ht="13.5" thickTop="1">
      <c r="A12" s="46">
        <v>1</v>
      </c>
      <c r="B12" s="47" t="s">
        <v>34</v>
      </c>
      <c r="C12" s="347">
        <v>0</v>
      </c>
      <c r="D12" s="347">
        <v>33.46</v>
      </c>
      <c r="E12" s="348">
        <f aca="true" t="shared" si="0" ref="E12:E32">C12+D12</f>
        <v>33.46</v>
      </c>
      <c r="F12" s="349">
        <v>0</v>
      </c>
      <c r="G12" s="349">
        <v>0</v>
      </c>
      <c r="H12" s="348">
        <f aca="true" t="shared" si="1" ref="H12:H33">SUM(E12:G12)</f>
        <v>33.46</v>
      </c>
    </row>
    <row r="13" spans="1:8" ht="12.75">
      <c r="A13" s="200">
        <v>4</v>
      </c>
      <c r="B13" s="47" t="s">
        <v>35</v>
      </c>
      <c r="C13" s="347">
        <v>0</v>
      </c>
      <c r="D13" s="347">
        <v>1570.91</v>
      </c>
      <c r="E13" s="348">
        <f t="shared" si="0"/>
        <v>1570.91</v>
      </c>
      <c r="F13" s="349">
        <v>0</v>
      </c>
      <c r="G13" s="349">
        <v>0</v>
      </c>
      <c r="H13" s="348">
        <f t="shared" si="1"/>
        <v>1570.91</v>
      </c>
    </row>
    <row r="14" spans="1:8" ht="12.75">
      <c r="A14" s="200">
        <v>7</v>
      </c>
      <c r="B14" s="47" t="s">
        <v>36</v>
      </c>
      <c r="C14" s="347">
        <v>0</v>
      </c>
      <c r="D14" s="347">
        <v>762748.09</v>
      </c>
      <c r="E14" s="348">
        <f t="shared" si="0"/>
        <v>762748.09</v>
      </c>
      <c r="F14" s="349">
        <v>4349.24</v>
      </c>
      <c r="G14" s="349">
        <v>0</v>
      </c>
      <c r="H14" s="348">
        <f t="shared" si="1"/>
        <v>767097.33</v>
      </c>
    </row>
    <row r="15" spans="1:8" ht="12.75">
      <c r="A15" s="200">
        <v>8</v>
      </c>
      <c r="B15" s="47" t="s">
        <v>37</v>
      </c>
      <c r="C15" s="347">
        <v>0</v>
      </c>
      <c r="D15" s="347">
        <v>942160.74</v>
      </c>
      <c r="E15" s="348">
        <f t="shared" si="0"/>
        <v>942160.74</v>
      </c>
      <c r="F15" s="349">
        <v>0</v>
      </c>
      <c r="G15" s="349">
        <v>0</v>
      </c>
      <c r="H15" s="348">
        <f t="shared" si="1"/>
        <v>942160.74</v>
      </c>
    </row>
    <row r="16" spans="1:8" ht="12.75">
      <c r="A16" s="200">
        <v>9</v>
      </c>
      <c r="B16" s="47" t="s">
        <v>38</v>
      </c>
      <c r="C16" s="347">
        <v>0</v>
      </c>
      <c r="D16" s="347">
        <v>2274.89</v>
      </c>
      <c r="E16" s="348">
        <f t="shared" si="0"/>
        <v>2274.89</v>
      </c>
      <c r="F16" s="349">
        <v>0</v>
      </c>
      <c r="G16" s="349">
        <v>0</v>
      </c>
      <c r="H16" s="348">
        <f t="shared" si="1"/>
        <v>2274.89</v>
      </c>
    </row>
    <row r="17" spans="1:8" ht="12.75">
      <c r="A17" s="200">
        <v>12</v>
      </c>
      <c r="B17" s="47" t="s">
        <v>285</v>
      </c>
      <c r="C17" s="347">
        <v>0</v>
      </c>
      <c r="D17" s="347">
        <v>874.68</v>
      </c>
      <c r="E17" s="348">
        <f t="shared" si="0"/>
        <v>874.68</v>
      </c>
      <c r="F17" s="349">
        <v>0</v>
      </c>
      <c r="G17" s="349">
        <v>0</v>
      </c>
      <c r="H17" s="348">
        <f t="shared" si="1"/>
        <v>874.68</v>
      </c>
    </row>
    <row r="18" spans="1:8" ht="12.75">
      <c r="A18" s="200">
        <v>13</v>
      </c>
      <c r="B18" s="47" t="s">
        <v>39</v>
      </c>
      <c r="C18" s="347">
        <v>0</v>
      </c>
      <c r="D18" s="347">
        <v>13670.9</v>
      </c>
      <c r="E18" s="348">
        <f t="shared" si="0"/>
        <v>13670.9</v>
      </c>
      <c r="F18" s="349">
        <v>0</v>
      </c>
      <c r="G18" s="349">
        <v>0</v>
      </c>
      <c r="H18" s="348">
        <f t="shared" si="1"/>
        <v>13670.9</v>
      </c>
    </row>
    <row r="19" spans="1:8" ht="12.75">
      <c r="A19" s="46">
        <v>15</v>
      </c>
      <c r="B19" s="47" t="s">
        <v>40</v>
      </c>
      <c r="C19" s="347">
        <v>38949.12</v>
      </c>
      <c r="D19" s="347">
        <v>210260.98</v>
      </c>
      <c r="E19" s="348">
        <f t="shared" si="0"/>
        <v>249210.1</v>
      </c>
      <c r="F19" s="349">
        <v>0</v>
      </c>
      <c r="G19" s="349">
        <v>0</v>
      </c>
      <c r="H19" s="348">
        <f t="shared" si="1"/>
        <v>249210.1</v>
      </c>
    </row>
    <row r="20" spans="1:8" ht="12.75">
      <c r="A20" s="46">
        <v>16</v>
      </c>
      <c r="B20" s="47" t="s">
        <v>41</v>
      </c>
      <c r="C20" s="347">
        <v>24057.54</v>
      </c>
      <c r="D20" s="347">
        <v>168786.14</v>
      </c>
      <c r="E20" s="348">
        <f t="shared" si="0"/>
        <v>192843.68000000002</v>
      </c>
      <c r="F20" s="349">
        <v>3483.04</v>
      </c>
      <c r="G20" s="349">
        <v>71.6</v>
      </c>
      <c r="H20" s="348">
        <f t="shared" si="1"/>
        <v>196398.32000000004</v>
      </c>
    </row>
    <row r="21" spans="1:8" ht="12.75">
      <c r="A21" s="46">
        <v>17</v>
      </c>
      <c r="B21" s="47" t="s">
        <v>42</v>
      </c>
      <c r="C21" s="347">
        <v>2597899.72</v>
      </c>
      <c r="D21" s="347">
        <v>6854050.515999998</v>
      </c>
      <c r="E21" s="348">
        <f t="shared" si="0"/>
        <v>9451950.235999998</v>
      </c>
      <c r="F21" s="349">
        <v>39987.37</v>
      </c>
      <c r="G21" s="349">
        <v>76396.65000000008</v>
      </c>
      <c r="H21" s="348">
        <f t="shared" si="1"/>
        <v>9568334.255999997</v>
      </c>
    </row>
    <row r="22" spans="1:8" ht="12.75">
      <c r="A22" s="46">
        <v>18</v>
      </c>
      <c r="B22" s="47" t="s">
        <v>43</v>
      </c>
      <c r="C22" s="347">
        <v>241702.02</v>
      </c>
      <c r="D22" s="347">
        <v>1087364.86</v>
      </c>
      <c r="E22" s="348">
        <f t="shared" si="0"/>
        <v>1329066.8800000001</v>
      </c>
      <c r="F22" s="349">
        <v>19039.5</v>
      </c>
      <c r="G22" s="349">
        <v>13770.6</v>
      </c>
      <c r="H22" s="348">
        <f t="shared" si="1"/>
        <v>1361876.9800000002</v>
      </c>
    </row>
    <row r="23" spans="1:8" ht="12.75">
      <c r="A23" s="46">
        <v>19</v>
      </c>
      <c r="B23" s="47" t="s">
        <v>44</v>
      </c>
      <c r="C23" s="347">
        <v>0</v>
      </c>
      <c r="D23" s="347">
        <v>1519734.78</v>
      </c>
      <c r="E23" s="348">
        <f t="shared" si="0"/>
        <v>1519734.78</v>
      </c>
      <c r="F23" s="349">
        <v>0</v>
      </c>
      <c r="G23" s="349">
        <v>1151.7</v>
      </c>
      <c r="H23" s="348">
        <f t="shared" si="1"/>
        <v>1520886.48</v>
      </c>
    </row>
    <row r="24" spans="1:8" ht="12.75">
      <c r="A24" s="46">
        <v>19</v>
      </c>
      <c r="B24" s="47" t="s">
        <v>45</v>
      </c>
      <c r="C24" s="347">
        <v>0</v>
      </c>
      <c r="D24" s="347">
        <v>0</v>
      </c>
      <c r="E24" s="348">
        <f t="shared" si="0"/>
        <v>0</v>
      </c>
      <c r="F24" s="349">
        <v>0</v>
      </c>
      <c r="G24" s="349">
        <v>64.5</v>
      </c>
      <c r="H24" s="348">
        <f t="shared" si="1"/>
        <v>64.5</v>
      </c>
    </row>
    <row r="25" spans="1:8" ht="12.75">
      <c r="A25" s="46">
        <v>20</v>
      </c>
      <c r="B25" s="47" t="s">
        <v>46</v>
      </c>
      <c r="C25" s="347">
        <v>392063.08</v>
      </c>
      <c r="D25" s="347">
        <v>831839.05</v>
      </c>
      <c r="E25" s="348">
        <f t="shared" si="0"/>
        <v>1223902.1300000001</v>
      </c>
      <c r="F25" s="349">
        <v>1528.61</v>
      </c>
      <c r="G25" s="349">
        <v>0</v>
      </c>
      <c r="H25" s="348">
        <f t="shared" si="1"/>
        <v>1225430.7400000002</v>
      </c>
    </row>
    <row r="26" spans="1:8" ht="12.75">
      <c r="A26" s="46">
        <v>21</v>
      </c>
      <c r="B26" s="47" t="s">
        <v>47</v>
      </c>
      <c r="C26" s="347">
        <v>1427.22</v>
      </c>
      <c r="D26" s="347">
        <v>31007.53</v>
      </c>
      <c r="E26" s="348">
        <f t="shared" si="0"/>
        <v>32434.75</v>
      </c>
      <c r="F26" s="349">
        <v>0</v>
      </c>
      <c r="G26" s="349">
        <v>17.9</v>
      </c>
      <c r="H26" s="348">
        <f t="shared" si="1"/>
        <v>32452.65</v>
      </c>
    </row>
    <row r="27" spans="1:8" ht="12.75">
      <c r="A27" s="46">
        <v>27</v>
      </c>
      <c r="B27" s="47" t="s">
        <v>48</v>
      </c>
      <c r="C27" s="347">
        <v>941191.97</v>
      </c>
      <c r="D27" s="347">
        <v>1717499.12</v>
      </c>
      <c r="E27" s="348">
        <f t="shared" si="0"/>
        <v>2658691.09</v>
      </c>
      <c r="F27" s="349">
        <v>7160.99</v>
      </c>
      <c r="G27" s="349">
        <v>57547.34</v>
      </c>
      <c r="H27" s="348">
        <f t="shared" si="1"/>
        <v>2723399.42</v>
      </c>
    </row>
    <row r="28" spans="1:8" ht="12.75">
      <c r="A28" s="46">
        <v>29</v>
      </c>
      <c r="B28" s="47" t="s">
        <v>49</v>
      </c>
      <c r="C28" s="347">
        <v>426302.51</v>
      </c>
      <c r="D28" s="347">
        <v>1230964.99</v>
      </c>
      <c r="E28" s="348">
        <f t="shared" si="0"/>
        <v>1657267.5</v>
      </c>
      <c r="F28" s="349">
        <v>1034.4</v>
      </c>
      <c r="G28" s="349">
        <v>41078.98</v>
      </c>
      <c r="H28" s="348">
        <f t="shared" si="1"/>
        <v>1699380.88</v>
      </c>
    </row>
    <row r="29" spans="1:8" ht="12.75">
      <c r="A29" s="46">
        <v>31</v>
      </c>
      <c r="B29" s="47" t="s">
        <v>50</v>
      </c>
      <c r="C29" s="347">
        <v>12502.4</v>
      </c>
      <c r="D29" s="347">
        <v>107666.29</v>
      </c>
      <c r="E29" s="348">
        <f t="shared" si="0"/>
        <v>120168.68999999999</v>
      </c>
      <c r="F29" s="349">
        <v>0</v>
      </c>
      <c r="G29" s="349">
        <v>2059.72</v>
      </c>
      <c r="H29" s="348">
        <f t="shared" si="1"/>
        <v>122228.40999999999</v>
      </c>
    </row>
    <row r="30" spans="1:8" ht="12.75">
      <c r="A30" s="46">
        <v>32</v>
      </c>
      <c r="B30" s="47" t="s">
        <v>51</v>
      </c>
      <c r="C30" s="347">
        <v>0</v>
      </c>
      <c r="D30" s="347">
        <v>0</v>
      </c>
      <c r="E30" s="348">
        <f t="shared" si="0"/>
        <v>0</v>
      </c>
      <c r="F30" s="349">
        <v>0</v>
      </c>
      <c r="G30" s="349">
        <v>0</v>
      </c>
      <c r="H30" s="348">
        <f t="shared" si="1"/>
        <v>0</v>
      </c>
    </row>
    <row r="31" spans="1:8" ht="12.75">
      <c r="A31" s="46">
        <v>34</v>
      </c>
      <c r="B31" s="47" t="s">
        <v>52</v>
      </c>
      <c r="C31" s="347">
        <v>199249.84</v>
      </c>
      <c r="D31" s="347">
        <v>1262514.35</v>
      </c>
      <c r="E31" s="348">
        <f t="shared" si="0"/>
        <v>1461764.1900000002</v>
      </c>
      <c r="F31" s="349">
        <v>2592</v>
      </c>
      <c r="G31" s="349">
        <v>5918.07</v>
      </c>
      <c r="H31" s="348">
        <f t="shared" si="1"/>
        <v>1470274.2600000002</v>
      </c>
    </row>
    <row r="32" spans="1:8" ht="12.75">
      <c r="A32" s="46">
        <v>37</v>
      </c>
      <c r="B32" s="47" t="s">
        <v>53</v>
      </c>
      <c r="C32" s="347">
        <v>311974.25</v>
      </c>
      <c r="D32" s="347">
        <v>2261180.19</v>
      </c>
      <c r="E32" s="348">
        <f t="shared" si="0"/>
        <v>2573154.44</v>
      </c>
      <c r="F32" s="349">
        <v>12792.35</v>
      </c>
      <c r="G32" s="349">
        <v>16198.59</v>
      </c>
      <c r="H32" s="348">
        <f t="shared" si="1"/>
        <v>2602145.38</v>
      </c>
    </row>
    <row r="33" spans="1:8" s="201" customFormat="1" ht="12.75">
      <c r="A33" s="200"/>
      <c r="B33" s="47" t="s">
        <v>289</v>
      </c>
      <c r="C33" s="350"/>
      <c r="D33" s="350"/>
      <c r="E33" s="351"/>
      <c r="F33" s="351"/>
      <c r="G33" s="351">
        <v>4424.32</v>
      </c>
      <c r="H33" s="351">
        <f t="shared" si="1"/>
        <v>4424.32</v>
      </c>
    </row>
    <row r="34" spans="1:8" s="201" customFormat="1" ht="12.75">
      <c r="A34" s="195"/>
      <c r="B34" s="47"/>
      <c r="C34" s="352"/>
      <c r="D34" s="353"/>
      <c r="E34" s="354"/>
      <c r="F34" s="354"/>
      <c r="G34" s="348"/>
      <c r="H34" s="348"/>
    </row>
    <row r="35" spans="2:8" ht="13.5" thickBot="1">
      <c r="B35" s="182" t="s">
        <v>54</v>
      </c>
      <c r="C35" s="355">
        <f>SUM(C12:C33)</f>
        <v>5187319.670000001</v>
      </c>
      <c r="D35" s="356">
        <f>SUM(D12:D33)</f>
        <v>19006202.466</v>
      </c>
      <c r="E35" s="357">
        <f>SUM(E12:E33)</f>
        <v>24193522.136000004</v>
      </c>
      <c r="F35" s="357">
        <f>SUM(F12:F33)</f>
        <v>91967.5</v>
      </c>
      <c r="G35" s="357">
        <f>SUM(G12:G33)</f>
        <v>218699.97000000012</v>
      </c>
      <c r="H35" s="357">
        <f>SUM(H12:H34)</f>
        <v>24504189.606</v>
      </c>
    </row>
    <row r="36" spans="3:8" ht="13.5" thickTop="1">
      <c r="C36" s="358"/>
      <c r="D36" s="358"/>
      <c r="E36" s="359"/>
      <c r="F36" s="359"/>
      <c r="G36" s="359"/>
      <c r="H36" s="359"/>
    </row>
    <row r="37" spans="3:8" ht="12.75">
      <c r="C37" s="358"/>
      <c r="D37" s="358"/>
      <c r="E37" s="360"/>
      <c r="F37" s="360"/>
      <c r="G37" s="360"/>
      <c r="H37" s="360"/>
    </row>
    <row r="38" spans="3:8" ht="12.75">
      <c r="C38" s="358"/>
      <c r="D38" s="358"/>
      <c r="E38" s="360"/>
      <c r="F38" s="360"/>
      <c r="G38" s="387" t="s">
        <v>290</v>
      </c>
      <c r="H38" s="360">
        <v>23625700</v>
      </c>
    </row>
    <row r="39" spans="3:8" ht="13.5" thickBot="1">
      <c r="C39" s="361"/>
      <c r="D39" s="361"/>
      <c r="E39" s="361"/>
      <c r="F39" s="362"/>
      <c r="G39" s="387" t="s">
        <v>55</v>
      </c>
      <c r="H39" s="388">
        <f>+H35-H38</f>
        <v>878489.6059999987</v>
      </c>
    </row>
    <row r="40" spans="1:8" ht="13.5" thickTop="1">
      <c r="A40" s="203"/>
      <c r="F40" s="209"/>
      <c r="G40" s="52"/>
      <c r="H40" s="51"/>
    </row>
    <row r="41" spans="1:8" ht="12.75">
      <c r="A41" s="204"/>
      <c r="B41" s="210"/>
      <c r="C41" s="53"/>
      <c r="D41" s="53"/>
      <c r="E41" s="53"/>
      <c r="H41" s="53"/>
    </row>
    <row r="42" spans="8:9" ht="12.75">
      <c r="H42" s="54"/>
      <c r="I42" s="202"/>
    </row>
    <row r="43" spans="8:9" ht="12.75">
      <c r="H43" s="54"/>
      <c r="I43" s="202"/>
    </row>
    <row r="44" spans="8:9" ht="12.75">
      <c r="H44" s="205"/>
      <c r="I44" s="202"/>
    </row>
    <row r="45" spans="6:9" ht="12.75">
      <c r="F45" s="202"/>
      <c r="I45" s="202"/>
    </row>
    <row r="46" spans="6:9" ht="12.75">
      <c r="F46" s="202"/>
      <c r="I46" s="202"/>
    </row>
    <row r="47" ht="12.75">
      <c r="F47" s="202"/>
    </row>
  </sheetData>
  <sheetProtection/>
  <printOptions/>
  <pageMargins left="0.43" right="0.48" top="1.03" bottom="0.25" header="0" footer="0"/>
  <pageSetup fitToHeight="1" fitToWidth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2.57421875" style="4" customWidth="1"/>
    <col min="2" max="2" width="15.00390625" style="4" customWidth="1"/>
    <col min="3" max="3" width="12.00390625" style="4" bestFit="1" customWidth="1"/>
    <col min="4" max="4" width="13.421875" style="4" bestFit="1" customWidth="1"/>
    <col min="5" max="5" width="14.57421875" style="4" bestFit="1" customWidth="1"/>
    <col min="6" max="6" width="11.7109375" style="4" customWidth="1"/>
    <col min="7" max="16384" width="9.140625" style="4" customWidth="1"/>
  </cols>
  <sheetData>
    <row r="1" spans="1:6" ht="12.75">
      <c r="A1" s="2" t="s">
        <v>84</v>
      </c>
      <c r="B1" s="3"/>
      <c r="C1" s="3"/>
      <c r="D1" s="3"/>
      <c r="E1" s="3"/>
      <c r="F1" s="3"/>
    </row>
    <row r="2" spans="1:6" ht="12.75">
      <c r="A2" s="2" t="s">
        <v>22</v>
      </c>
      <c r="B2" s="3"/>
      <c r="C2" s="3"/>
      <c r="D2" s="3"/>
      <c r="E2" s="3"/>
      <c r="F2" s="3"/>
    </row>
    <row r="3" spans="1:6" ht="12.75">
      <c r="A3" s="2" t="s">
        <v>291</v>
      </c>
      <c r="B3" s="3"/>
      <c r="C3" s="3"/>
      <c r="D3" s="3"/>
      <c r="E3" s="3"/>
      <c r="F3" s="3"/>
    </row>
    <row r="4" spans="1:6" ht="12.75">
      <c r="A4" s="111" t="s">
        <v>287</v>
      </c>
      <c r="B4" s="3"/>
      <c r="C4" s="3"/>
      <c r="D4" s="3"/>
      <c r="E4" s="3"/>
      <c r="F4" s="3"/>
    </row>
    <row r="5" spans="1:7" ht="13.5" thickBot="1">
      <c r="A5" s="114"/>
      <c r="B5" s="114"/>
      <c r="C5" s="114"/>
      <c r="D5" s="114"/>
      <c r="E5" s="114"/>
      <c r="F5" s="114"/>
      <c r="G5" s="9"/>
    </row>
    <row r="6" spans="1:7" ht="13.5" thickTop="1">
      <c r="A6" s="162"/>
      <c r="C6" s="57"/>
      <c r="F6" s="118"/>
      <c r="G6" s="9"/>
    </row>
    <row r="7" spans="1:6" ht="12.75">
      <c r="A7" s="116"/>
      <c r="C7" s="57"/>
      <c r="F7" s="7"/>
    </row>
    <row r="8" spans="2:6" ht="12.75">
      <c r="B8" s="119" t="s">
        <v>167</v>
      </c>
      <c r="C8" s="120" t="s">
        <v>168</v>
      </c>
      <c r="D8" s="119" t="s">
        <v>169</v>
      </c>
      <c r="E8" s="119" t="s">
        <v>170</v>
      </c>
      <c r="F8" s="7"/>
    </row>
    <row r="9" spans="3:6" ht="12.75">
      <c r="C9" s="163" t="s">
        <v>171</v>
      </c>
      <c r="F9" s="124" t="s">
        <v>171</v>
      </c>
    </row>
    <row r="10" spans="1:6" ht="12.75">
      <c r="A10" s="125"/>
      <c r="B10" s="126" t="s">
        <v>172</v>
      </c>
      <c r="C10" s="127" t="s">
        <v>189</v>
      </c>
      <c r="D10" s="126" t="s">
        <v>61</v>
      </c>
      <c r="E10" s="126" t="s">
        <v>174</v>
      </c>
      <c r="F10" s="164" t="s">
        <v>175</v>
      </c>
    </row>
    <row r="11" spans="1:6" ht="12.75">
      <c r="A11" s="129"/>
      <c r="B11" s="130" t="s">
        <v>176</v>
      </c>
      <c r="C11" s="131" t="s">
        <v>190</v>
      </c>
      <c r="D11" s="130" t="s">
        <v>176</v>
      </c>
      <c r="E11" s="130" t="s">
        <v>178</v>
      </c>
      <c r="F11" s="165" t="s">
        <v>179</v>
      </c>
    </row>
    <row r="12" spans="1:6" ht="13.5" thickBot="1">
      <c r="A12" s="134" t="s">
        <v>26</v>
      </c>
      <c r="B12" s="135" t="s">
        <v>191</v>
      </c>
      <c r="C12" s="136" t="s">
        <v>192</v>
      </c>
      <c r="D12" s="135" t="s">
        <v>193</v>
      </c>
      <c r="E12" s="166" t="s">
        <v>182</v>
      </c>
      <c r="F12" s="167" t="s">
        <v>183</v>
      </c>
    </row>
    <row r="13" spans="1:6" ht="13.5" thickTop="1">
      <c r="A13" s="168"/>
      <c r="B13" s="169"/>
      <c r="C13" s="120"/>
      <c r="D13" s="169"/>
      <c r="E13" s="170"/>
      <c r="F13" s="171"/>
    </row>
    <row r="14" spans="1:6" ht="12.75">
      <c r="A14" s="139" t="s">
        <v>42</v>
      </c>
      <c r="B14" s="140">
        <v>764201099</v>
      </c>
      <c r="C14" s="141">
        <f aca="true" t="shared" si="0" ref="C14:C20">ROUND(D14/B14,4)</f>
        <v>0.9827</v>
      </c>
      <c r="D14" s="140">
        <v>750984233</v>
      </c>
      <c r="E14" s="363">
        <v>8347570.679999998</v>
      </c>
      <c r="F14" s="177">
        <f aca="true" t="shared" si="1" ref="F14:F20">ROUND(E14/D14*1000,2)</f>
        <v>11.12</v>
      </c>
    </row>
    <row r="15" spans="1:6" ht="12.75">
      <c r="A15" s="139" t="s">
        <v>44</v>
      </c>
      <c r="B15" s="140">
        <v>13521650</v>
      </c>
      <c r="C15" s="141">
        <f t="shared" si="0"/>
        <v>0.9885</v>
      </c>
      <c r="D15" s="140">
        <v>13366141</v>
      </c>
      <c r="E15" s="363">
        <v>96477.19</v>
      </c>
      <c r="F15" s="177">
        <f t="shared" si="1"/>
        <v>7.22</v>
      </c>
    </row>
    <row r="16" spans="1:6" ht="12.75">
      <c r="A16" s="139" t="s">
        <v>47</v>
      </c>
      <c r="B16" s="172">
        <v>59031179</v>
      </c>
      <c r="C16" s="141">
        <f t="shared" si="0"/>
        <v>0.9212</v>
      </c>
      <c r="D16" s="172">
        <v>54377548</v>
      </c>
      <c r="E16" s="363">
        <v>527597.68</v>
      </c>
      <c r="F16" s="177">
        <f t="shared" si="1"/>
        <v>9.7</v>
      </c>
    </row>
    <row r="17" spans="1:6" ht="12.75">
      <c r="A17" s="139" t="s">
        <v>48</v>
      </c>
      <c r="B17" s="140">
        <v>288267237</v>
      </c>
      <c r="C17" s="141">
        <f t="shared" si="0"/>
        <v>0.9174</v>
      </c>
      <c r="D17" s="140">
        <v>264464329</v>
      </c>
      <c r="E17" s="363">
        <v>3320427.88</v>
      </c>
      <c r="F17" s="177">
        <f t="shared" si="1"/>
        <v>12.56</v>
      </c>
    </row>
    <row r="18" spans="1:6" ht="12.75">
      <c r="A18" s="139" t="s">
        <v>49</v>
      </c>
      <c r="B18" s="140">
        <v>137108</v>
      </c>
      <c r="C18" s="141">
        <f t="shared" si="0"/>
        <v>0.942</v>
      </c>
      <c r="D18" s="140">
        <v>129156</v>
      </c>
      <c r="E18" s="363">
        <v>1332.4</v>
      </c>
      <c r="F18" s="177">
        <f t="shared" si="1"/>
        <v>10.32</v>
      </c>
    </row>
    <row r="19" spans="1:6" ht="12.75">
      <c r="A19" s="139" t="s">
        <v>50</v>
      </c>
      <c r="B19" s="140">
        <v>181874121</v>
      </c>
      <c r="C19" s="141">
        <f t="shared" si="0"/>
        <v>0.9952</v>
      </c>
      <c r="D19" s="140">
        <v>181006636</v>
      </c>
      <c r="E19" s="363">
        <v>2056282.49</v>
      </c>
      <c r="F19" s="177">
        <f t="shared" si="1"/>
        <v>11.36</v>
      </c>
    </row>
    <row r="20" spans="1:6" ht="12.75">
      <c r="A20" s="139" t="s">
        <v>52</v>
      </c>
      <c r="B20" s="140">
        <v>71890598</v>
      </c>
      <c r="C20" s="141">
        <f t="shared" si="0"/>
        <v>0.9667</v>
      </c>
      <c r="D20" s="140">
        <v>69496465</v>
      </c>
      <c r="E20" s="363">
        <v>811161.23</v>
      </c>
      <c r="F20" s="177">
        <f t="shared" si="1"/>
        <v>11.67</v>
      </c>
    </row>
    <row r="21" spans="3:6" ht="12.75">
      <c r="C21" s="57"/>
      <c r="E21" s="172"/>
      <c r="F21" s="8"/>
    </row>
    <row r="22" spans="3:6" ht="12.75">
      <c r="C22" s="57"/>
      <c r="E22" s="364"/>
      <c r="F22" s="7"/>
    </row>
    <row r="23" spans="1:7" ht="12.75">
      <c r="A23" s="139" t="s">
        <v>17</v>
      </c>
      <c r="B23" s="173">
        <f>SUM(B14:B22)</f>
        <v>1378922992</v>
      </c>
      <c r="C23" s="152">
        <f>ROUND(D23/B23,4)</f>
        <v>0.9673</v>
      </c>
      <c r="D23" s="174">
        <f>SUM(D14:D22)</f>
        <v>1333824508</v>
      </c>
      <c r="E23" s="365">
        <f>SUM(E14:E20)</f>
        <v>15160849.549999997</v>
      </c>
      <c r="F23" s="175">
        <f>ROUND(E23/D23*1000,3)</f>
        <v>11.366</v>
      </c>
      <c r="G23" s="142"/>
    </row>
    <row r="24" spans="2:6" ht="12.75">
      <c r="B24" s="176"/>
      <c r="C24" s="56"/>
      <c r="E24" s="172"/>
      <c r="F24" s="177"/>
    </row>
    <row r="25" spans="3:7" ht="12.75">
      <c r="C25" s="178"/>
      <c r="D25" s="291" t="s">
        <v>296</v>
      </c>
      <c r="E25" s="363">
        <v>54252.44</v>
      </c>
      <c r="F25" s="179"/>
      <c r="G25" s="9"/>
    </row>
    <row r="26" spans="3:7" ht="13.5" thickBot="1">
      <c r="C26" s="178"/>
      <c r="E26" s="366">
        <f>SUM(E23:E25)</f>
        <v>15215101.989999996</v>
      </c>
      <c r="F26" s="9"/>
      <c r="G26" s="9"/>
    </row>
    <row r="27" spans="2:7" ht="13.5" thickTop="1">
      <c r="B27" s="140"/>
      <c r="C27" s="178"/>
      <c r="E27" s="154"/>
      <c r="F27" s="9"/>
      <c r="G27" s="9"/>
    </row>
    <row r="28" spans="2:7" ht="12.75">
      <c r="B28" s="140"/>
      <c r="F28" s="9"/>
      <c r="G28" s="9"/>
    </row>
    <row r="30" ht="12.75">
      <c r="B30" s="180"/>
    </row>
  </sheetData>
  <sheetProtection/>
  <printOptions/>
  <pageMargins left="1" right="1" top="1" bottom="1" header="0.5" footer="0.5"/>
  <pageSetup fitToHeight="1" fitToWidth="1" horizontalDpi="600" verticalDpi="6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25" sqref="E25"/>
    </sheetView>
  </sheetViews>
  <sheetFormatPr defaultColWidth="9.140625" defaultRowHeight="12.75"/>
  <cols>
    <col min="1" max="1" width="4.00390625" style="212" customWidth="1"/>
    <col min="2" max="2" width="18.57421875" style="212" customWidth="1"/>
    <col min="3" max="3" width="15.28125" style="212" customWidth="1"/>
    <col min="4" max="4" width="14.7109375" style="212" customWidth="1"/>
    <col min="5" max="5" width="18.140625" style="212" customWidth="1"/>
    <col min="6" max="7" width="11.57421875" style="212" customWidth="1"/>
    <col min="8" max="8" width="13.421875" style="212" bestFit="1" customWidth="1"/>
    <col min="9" max="9" width="11.140625" style="212" bestFit="1" customWidth="1"/>
    <col min="10" max="16384" width="9.140625" style="212" customWidth="1"/>
  </cols>
  <sheetData>
    <row r="1" spans="1:8" ht="12.75">
      <c r="A1" s="181" t="s">
        <v>57</v>
      </c>
      <c r="B1" s="211"/>
      <c r="C1" s="211"/>
      <c r="D1" s="211"/>
      <c r="E1" s="211"/>
      <c r="F1" s="211"/>
      <c r="G1" s="211"/>
      <c r="H1" s="211"/>
    </row>
    <row r="2" spans="1:8" ht="12.75">
      <c r="A2" s="181" t="s">
        <v>22</v>
      </c>
      <c r="B2" s="211"/>
      <c r="C2" s="211"/>
      <c r="D2" s="211"/>
      <c r="E2" s="211"/>
      <c r="F2" s="211"/>
      <c r="G2" s="211"/>
      <c r="H2" s="211"/>
    </row>
    <row r="3" spans="1:8" ht="12.75">
      <c r="A3" s="181" t="s">
        <v>291</v>
      </c>
      <c r="B3" s="211"/>
      <c r="C3" s="211"/>
      <c r="D3" s="211"/>
      <c r="E3" s="211"/>
      <c r="F3" s="211"/>
      <c r="G3" s="211"/>
      <c r="H3" s="211"/>
    </row>
    <row r="4" spans="1:8" ht="12.75">
      <c r="A4" s="182" t="s">
        <v>287</v>
      </c>
      <c r="B4" s="211"/>
      <c r="C4" s="211"/>
      <c r="D4" s="211"/>
      <c r="E4" s="211"/>
      <c r="F4" s="211"/>
      <c r="G4" s="211"/>
      <c r="H4" s="211"/>
    </row>
    <row r="5" spans="1:8" ht="12.75">
      <c r="A5" s="213"/>
      <c r="B5" s="211"/>
      <c r="C5" s="211"/>
      <c r="D5" s="211"/>
      <c r="E5" s="211"/>
      <c r="F5" s="211"/>
      <c r="G5" s="211"/>
      <c r="H5" s="211"/>
    </row>
    <row r="6" spans="1:8" ht="12.75">
      <c r="A6" s="237"/>
      <c r="B6" s="238"/>
      <c r="C6" s="237"/>
      <c r="D6" s="237"/>
      <c r="E6" s="237"/>
      <c r="F6" s="238"/>
      <c r="G6" s="238"/>
      <c r="H6" s="237"/>
    </row>
    <row r="7" spans="1:8" ht="13.5" thickBot="1">
      <c r="A7" s="214"/>
      <c r="B7" s="239"/>
      <c r="C7" s="214"/>
      <c r="D7" s="214"/>
      <c r="E7" s="214"/>
      <c r="F7" s="214"/>
      <c r="G7" s="214"/>
      <c r="H7" s="214"/>
    </row>
    <row r="8" spans="2:8" ht="13.5" thickTop="1">
      <c r="B8" s="215"/>
      <c r="C8" s="215"/>
      <c r="D8" s="216"/>
      <c r="E8" s="217" t="s">
        <v>58</v>
      </c>
      <c r="F8" s="218" t="s">
        <v>59</v>
      </c>
      <c r="G8" s="218"/>
      <c r="H8" s="219"/>
    </row>
    <row r="9" spans="2:8" ht="12.75">
      <c r="B9" s="215"/>
      <c r="C9" s="220" t="s">
        <v>60</v>
      </c>
      <c r="D9" s="221"/>
      <c r="E9" s="217" t="s">
        <v>61</v>
      </c>
      <c r="F9" s="218" t="s">
        <v>61</v>
      </c>
      <c r="G9" s="218" t="s">
        <v>30</v>
      </c>
      <c r="H9" s="222" t="s">
        <v>31</v>
      </c>
    </row>
    <row r="10" spans="1:8" ht="13.5" thickBot="1">
      <c r="A10" s="223" t="s">
        <v>62</v>
      </c>
      <c r="B10" s="224" t="s">
        <v>26</v>
      </c>
      <c r="C10" s="225" t="s">
        <v>63</v>
      </c>
      <c r="D10" s="226" t="s">
        <v>64</v>
      </c>
      <c r="E10" s="227" t="s">
        <v>65</v>
      </c>
      <c r="F10" s="228" t="s">
        <v>65</v>
      </c>
      <c r="G10" s="228"/>
      <c r="H10" s="240"/>
    </row>
    <row r="11" spans="2:9" ht="13.5" thickTop="1">
      <c r="B11" s="229"/>
      <c r="C11" s="230"/>
      <c r="D11" s="231"/>
      <c r="E11" s="231"/>
      <c r="F11" s="218"/>
      <c r="G11" s="218"/>
      <c r="H11" s="218"/>
      <c r="I11" s="232"/>
    </row>
    <row r="12" spans="1:9" ht="12.75">
      <c r="A12" s="49">
        <v>17</v>
      </c>
      <c r="B12" s="50" t="s">
        <v>42</v>
      </c>
      <c r="C12" s="367">
        <v>337704.95</v>
      </c>
      <c r="D12" s="368">
        <v>8009865.729999998</v>
      </c>
      <c r="E12" s="369">
        <f aca="true" t="shared" si="0" ref="E12:E18">C12+D12</f>
        <v>8347570.679999998</v>
      </c>
      <c r="F12" s="370">
        <v>10880.05</v>
      </c>
      <c r="G12" s="370">
        <v>33142.89</v>
      </c>
      <c r="H12" s="371">
        <f aca="true" t="shared" si="1" ref="H12:H18">SUM(E12:G12)</f>
        <v>8391593.619999997</v>
      </c>
      <c r="I12" s="232"/>
    </row>
    <row r="13" spans="1:9" ht="12.75">
      <c r="A13" s="49">
        <v>19</v>
      </c>
      <c r="B13" s="50" t="s">
        <v>44</v>
      </c>
      <c r="C13" s="367">
        <v>0</v>
      </c>
      <c r="D13" s="368">
        <v>96477.19</v>
      </c>
      <c r="E13" s="369">
        <f t="shared" si="0"/>
        <v>96477.19</v>
      </c>
      <c r="F13" s="370">
        <v>0</v>
      </c>
      <c r="G13" s="370">
        <v>0</v>
      </c>
      <c r="H13" s="371">
        <f t="shared" si="1"/>
        <v>96477.19</v>
      </c>
      <c r="I13" s="232"/>
    </row>
    <row r="14" spans="1:9" ht="12.75">
      <c r="A14" s="49">
        <v>21</v>
      </c>
      <c r="B14" s="50" t="s">
        <v>47</v>
      </c>
      <c r="C14" s="367">
        <v>17706.94</v>
      </c>
      <c r="D14" s="368">
        <v>509890.74</v>
      </c>
      <c r="E14" s="369">
        <f t="shared" si="0"/>
        <v>527597.6799999999</v>
      </c>
      <c r="F14" s="370">
        <v>388.57</v>
      </c>
      <c r="G14" s="370">
        <v>239.27</v>
      </c>
      <c r="H14" s="371">
        <f t="shared" si="1"/>
        <v>528225.5199999999</v>
      </c>
      <c r="I14" s="232"/>
    </row>
    <row r="15" spans="1:9" ht="12.75">
      <c r="A15" s="49">
        <v>27</v>
      </c>
      <c r="B15" s="50" t="s">
        <v>48</v>
      </c>
      <c r="C15" s="367">
        <v>239733.13</v>
      </c>
      <c r="D15" s="368">
        <v>3080694.75</v>
      </c>
      <c r="E15" s="369">
        <f t="shared" si="0"/>
        <v>3320427.88</v>
      </c>
      <c r="F15" s="370">
        <v>3212.86</v>
      </c>
      <c r="G15" s="370">
        <v>876.15</v>
      </c>
      <c r="H15" s="371">
        <f t="shared" si="1"/>
        <v>3324516.8899999997</v>
      </c>
      <c r="I15" s="232"/>
    </row>
    <row r="16" spans="1:9" ht="12.75">
      <c r="A16" s="49">
        <v>29</v>
      </c>
      <c r="B16" s="50" t="s">
        <v>49</v>
      </c>
      <c r="C16" s="367">
        <v>1332.4</v>
      </c>
      <c r="D16" s="368">
        <v>0</v>
      </c>
      <c r="E16" s="369">
        <f t="shared" si="0"/>
        <v>1332.4</v>
      </c>
      <c r="F16" s="370">
        <v>0</v>
      </c>
      <c r="G16" s="370">
        <v>0</v>
      </c>
      <c r="H16" s="371">
        <f t="shared" si="1"/>
        <v>1332.4</v>
      </c>
      <c r="I16" s="232"/>
    </row>
    <row r="17" spans="1:9" ht="12.75">
      <c r="A17" s="49">
        <v>31</v>
      </c>
      <c r="B17" s="50" t="s">
        <v>50</v>
      </c>
      <c r="C17" s="367">
        <v>25276.23</v>
      </c>
      <c r="D17" s="368">
        <v>2031006.26</v>
      </c>
      <c r="E17" s="369">
        <f t="shared" si="0"/>
        <v>2056282.49</v>
      </c>
      <c r="F17" s="370">
        <v>0</v>
      </c>
      <c r="G17" s="370">
        <v>4570.47</v>
      </c>
      <c r="H17" s="371">
        <f t="shared" si="1"/>
        <v>2060852.96</v>
      </c>
      <c r="I17" s="232"/>
    </row>
    <row r="18" spans="1:9" ht="12.75">
      <c r="A18" s="49">
        <v>34</v>
      </c>
      <c r="B18" s="50" t="s">
        <v>52</v>
      </c>
      <c r="C18" s="367">
        <v>4504.84</v>
      </c>
      <c r="D18" s="368">
        <v>806656.39</v>
      </c>
      <c r="E18" s="369">
        <f t="shared" si="0"/>
        <v>811161.23</v>
      </c>
      <c r="F18" s="370">
        <v>0</v>
      </c>
      <c r="G18" s="370">
        <v>942.18</v>
      </c>
      <c r="H18" s="371">
        <f t="shared" si="1"/>
        <v>812103.41</v>
      </c>
      <c r="I18" s="232"/>
    </row>
    <row r="19" spans="2:9" ht="12.75">
      <c r="B19" s="50"/>
      <c r="C19" s="367"/>
      <c r="D19" s="368"/>
      <c r="E19" s="369"/>
      <c r="F19" s="370"/>
      <c r="G19" s="370"/>
      <c r="H19" s="371"/>
      <c r="I19" s="232"/>
    </row>
    <row r="20" spans="3:9" ht="12.75">
      <c r="C20" s="372"/>
      <c r="D20" s="373"/>
      <c r="E20" s="373"/>
      <c r="F20" s="374"/>
      <c r="G20" s="374"/>
      <c r="H20" s="375"/>
      <c r="I20" s="232"/>
    </row>
    <row r="21" spans="2:9" ht="13.5" thickBot="1">
      <c r="B21" s="233" t="s">
        <v>54</v>
      </c>
      <c r="C21" s="376">
        <f aca="true" t="shared" si="2" ref="C21:H21">SUM(C12:C20)</f>
        <v>626258.49</v>
      </c>
      <c r="D21" s="377">
        <f t="shared" si="2"/>
        <v>14534591.059999999</v>
      </c>
      <c r="E21" s="376">
        <f t="shared" si="2"/>
        <v>15160849.549999997</v>
      </c>
      <c r="F21" s="376">
        <f t="shared" si="2"/>
        <v>14481.48</v>
      </c>
      <c r="G21" s="376">
        <f t="shared" si="2"/>
        <v>39770.96</v>
      </c>
      <c r="H21" s="376">
        <f t="shared" si="2"/>
        <v>15215101.989999995</v>
      </c>
      <c r="I21" s="232"/>
    </row>
    <row r="22" spans="3:9" ht="13.5" thickTop="1">
      <c r="C22" s="378"/>
      <c r="D22" s="379"/>
      <c r="E22" s="379"/>
      <c r="F22" s="379"/>
      <c r="G22" s="379"/>
      <c r="H22" s="379"/>
      <c r="I22" s="232"/>
    </row>
    <row r="23" spans="3:8" ht="12.75">
      <c r="C23" s="378"/>
      <c r="D23" s="380"/>
      <c r="E23" s="380"/>
      <c r="F23" s="381"/>
      <c r="G23" s="381"/>
      <c r="H23" s="382"/>
    </row>
    <row r="24" spans="3:8" ht="12.75">
      <c r="C24" s="383"/>
      <c r="D24" s="383"/>
      <c r="E24" s="383"/>
      <c r="F24" s="383"/>
      <c r="G24" s="384" t="s">
        <v>295</v>
      </c>
      <c r="H24" s="385">
        <v>14191878</v>
      </c>
    </row>
    <row r="25" spans="1:8" ht="13.5" thickBot="1">
      <c r="A25" s="49"/>
      <c r="B25" s="241"/>
      <c r="C25" s="383"/>
      <c r="D25" s="383"/>
      <c r="E25" s="383"/>
      <c r="F25" s="383"/>
      <c r="G25" s="384" t="s">
        <v>55</v>
      </c>
      <c r="H25" s="386">
        <f>+H21-H24</f>
        <v>1023223.9899999946</v>
      </c>
    </row>
    <row r="26" ht="13.5" thickTop="1">
      <c r="H26" s="234"/>
    </row>
    <row r="27" spans="5:8" ht="12.75">
      <c r="E27" s="235"/>
      <c r="F27" s="235"/>
      <c r="G27" s="235"/>
      <c r="H27" s="242"/>
    </row>
    <row r="28" spans="5:8" ht="12.75">
      <c r="E28" s="235"/>
      <c r="F28" s="235"/>
      <c r="G28" s="235"/>
      <c r="H28" s="236"/>
    </row>
  </sheetData>
  <sheetProtection/>
  <printOptions/>
  <pageMargins left="0.42" right="0.67" top="0.75" bottom="0" header="0" footer="0"/>
  <pageSetup fitToHeight="1" fitToWidth="1"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Puget Sound Energy</dc:creator>
  <cp:keywords/>
  <dc:description/>
  <cp:lastModifiedBy>No Name</cp:lastModifiedBy>
  <cp:lastPrinted>2011-05-24T21:57:35Z</cp:lastPrinted>
  <dcterms:created xsi:type="dcterms:W3CDTF">2010-05-10T17:12:29Z</dcterms:created>
  <dcterms:modified xsi:type="dcterms:W3CDTF">2011-05-24T21:58:24Z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111049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