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tabRatio="692"/>
  </bookViews>
  <sheets>
    <sheet name="Install Cst (Exsting Pole) pg 1" sheetId="9" r:id="rId1"/>
    <sheet name="Maintenance Assumptions pg 2" sheetId="8" r:id="rId2"/>
    <sheet name="LED Lighting kWh pg 3" sheetId="5" r:id="rId3"/>
    <sheet name="Cost Analysis pg 4" sheetId="3" r:id="rId4"/>
    <sheet name="Price Summary pg 5,6" sheetId="1" r:id="rId5"/>
    <sheet name="Consoldted Proposed Prices pg 7" sheetId="2" r:id="rId6"/>
    <sheet name="BACKUP&gt;&gt;&gt;" sheetId="11" r:id="rId7"/>
    <sheet name="Unit Costs" sheetId="7" r:id="rId8"/>
    <sheet name="Unit Costs wo fixture cost" sheetId="4" r:id="rId9"/>
    <sheet name="SL Blocking" sheetId="6" r:id="rId10"/>
    <sheet name="Area Light Composition" sheetId="10" r:id="rId11"/>
  </sheets>
  <definedNames>
    <definedName name="_xlnm.Print_Area" localSheetId="5">'Consoldted Proposed Prices pg 7'!$A$1:$F$39</definedName>
    <definedName name="_xlnm.Print_Area" localSheetId="4">'Price Summary pg 5,6'!$A$1:$L$85</definedName>
    <definedName name="_xlnm.Print_Titles" localSheetId="4">'Price Summary pg 5,6'!$1:$9</definedName>
  </definedNames>
  <calcPr calcId="152511" iterate="1" iterateCount="200"/>
</workbook>
</file>

<file path=xl/calcChain.xml><?xml version="1.0" encoding="utf-8"?>
<calcChain xmlns="http://schemas.openxmlformats.org/spreadsheetml/2006/main">
  <c r="O40" i="3" l="1"/>
  <c r="O44" i="3" s="1"/>
  <c r="L31" i="3" l="1"/>
  <c r="F85" i="1" l="1"/>
  <c r="N32" i="8" l="1"/>
  <c r="N33" i="8" s="1"/>
  <c r="N35" i="8" s="1"/>
  <c r="M32" i="8"/>
  <c r="M33" i="8" s="1"/>
  <c r="M35" i="8" s="1"/>
  <c r="O32" i="8"/>
  <c r="O33" i="8" s="1"/>
  <c r="O35" i="8" s="1"/>
  <c r="O11" i="8"/>
  <c r="O12" i="8" s="1"/>
  <c r="O14" i="8" s="1"/>
  <c r="N11" i="8"/>
  <c r="N12" i="8" s="1"/>
  <c r="N14" i="8" s="1"/>
  <c r="M11" i="8"/>
  <c r="M12" i="8" s="1"/>
  <c r="M14" i="8" s="1"/>
  <c r="L18" i="8"/>
  <c r="L19" i="8" s="1"/>
  <c r="M46" i="8"/>
  <c r="N47" i="8"/>
  <c r="N48" i="8" s="1"/>
  <c r="N50" i="8" s="1"/>
  <c r="O47" i="8"/>
  <c r="O48" i="8" s="1"/>
  <c r="O50" i="8" s="1"/>
  <c r="M47" i="8"/>
  <c r="L48" i="8"/>
  <c r="L50" i="8" s="1"/>
  <c r="L47" i="8"/>
  <c r="N40" i="8"/>
  <c r="N41" i="8" s="1"/>
  <c r="N43" i="8" s="1"/>
  <c r="M40" i="8"/>
  <c r="M41" i="8" s="1"/>
  <c r="M43" i="8" s="1"/>
  <c r="O40" i="8"/>
  <c r="O41" i="8" s="1"/>
  <c r="O43" i="8" s="1"/>
  <c r="L40" i="8"/>
  <c r="L41" i="8" s="1"/>
  <c r="L43" i="8" s="1"/>
  <c r="K47" i="8"/>
  <c r="K48" i="8" s="1"/>
  <c r="J47" i="8"/>
  <c r="J48" i="8" s="1"/>
  <c r="I47" i="8"/>
  <c r="I48" i="8" s="1"/>
  <c r="H47" i="8"/>
  <c r="H48" i="8" s="1"/>
  <c r="G47" i="8"/>
  <c r="G48" i="8" s="1"/>
  <c r="F47" i="8"/>
  <c r="F48" i="8" s="1"/>
  <c r="K40" i="8"/>
  <c r="K41" i="8" s="1"/>
  <c r="J40" i="8"/>
  <c r="J41" i="8" s="1"/>
  <c r="I40" i="8"/>
  <c r="I41" i="8" s="1"/>
  <c r="H40" i="8"/>
  <c r="H41" i="8" s="1"/>
  <c r="G40" i="8"/>
  <c r="G41" i="8" s="1"/>
  <c r="F40" i="8"/>
  <c r="F41" i="8" s="1"/>
  <c r="K32" i="8"/>
  <c r="K33" i="8" s="1"/>
  <c r="J32" i="8"/>
  <c r="J33" i="8" s="1"/>
  <c r="I32" i="8"/>
  <c r="I33" i="8" s="1"/>
  <c r="H32" i="8"/>
  <c r="H33" i="8" s="1"/>
  <c r="G32" i="8"/>
  <c r="G33" i="8" s="1"/>
  <c r="F32" i="8"/>
  <c r="F33" i="8" s="1"/>
  <c r="K25" i="8"/>
  <c r="K26" i="8" s="1"/>
  <c r="J25" i="8"/>
  <c r="J26" i="8" s="1"/>
  <c r="I25" i="8"/>
  <c r="I26" i="8" s="1"/>
  <c r="H25" i="8"/>
  <c r="H26" i="8" s="1"/>
  <c r="G25" i="8"/>
  <c r="G26" i="8" s="1"/>
  <c r="F25" i="8"/>
  <c r="F26" i="8" s="1"/>
  <c r="K19" i="8"/>
  <c r="H19" i="8"/>
  <c r="G19" i="8"/>
  <c r="K18" i="8"/>
  <c r="J18" i="8"/>
  <c r="J19" i="8" s="1"/>
  <c r="I18" i="8"/>
  <c r="I19" i="8" s="1"/>
  <c r="H18" i="8"/>
  <c r="G18" i="8"/>
  <c r="F18" i="8"/>
  <c r="F19" i="8" s="1"/>
  <c r="K12" i="8"/>
  <c r="H12" i="8"/>
  <c r="G12" i="8"/>
  <c r="K11" i="8"/>
  <c r="J11" i="8"/>
  <c r="J12" i="8" s="1"/>
  <c r="I11" i="8"/>
  <c r="I12" i="8" s="1"/>
  <c r="H11" i="8"/>
  <c r="G11" i="8"/>
  <c r="F11" i="8"/>
  <c r="F12" i="8" s="1"/>
  <c r="J8" i="9" l="1"/>
  <c r="L21" i="8"/>
  <c r="M48" i="8"/>
  <c r="M50" i="8" s="1"/>
  <c r="D36" i="2" l="1"/>
  <c r="D35" i="2"/>
  <c r="D34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4" i="2"/>
  <c r="D13" i="2"/>
  <c r="D12" i="2"/>
  <c r="D14" i="5" l="1"/>
  <c r="J12" i="10" l="1"/>
  <c r="H14" i="10"/>
  <c r="H13" i="10"/>
  <c r="H12" i="10"/>
  <c r="G14" i="10"/>
  <c r="G13" i="10"/>
  <c r="G12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H3" i="10"/>
  <c r="G3" i="10"/>
  <c r="H2" i="10"/>
  <c r="G2" i="10"/>
  <c r="K8" i="9" l="1"/>
  <c r="M8" i="9"/>
  <c r="L8" i="9"/>
  <c r="G55" i="1"/>
  <c r="G54" i="1"/>
  <c r="G53" i="1"/>
  <c r="G52" i="1"/>
  <c r="G51" i="1"/>
  <c r="G50" i="1"/>
  <c r="G49" i="1"/>
  <c r="G48" i="1"/>
  <c r="G47" i="1"/>
  <c r="G46" i="1"/>
  <c r="I8" i="9" l="1"/>
  <c r="H8" i="9"/>
  <c r="G8" i="9"/>
  <c r="F8" i="9"/>
  <c r="E8" i="9"/>
  <c r="D8" i="9"/>
  <c r="N52" i="8" l="1"/>
  <c r="N54" i="8" s="1"/>
  <c r="L13" i="3" s="1"/>
  <c r="B10" i="9"/>
  <c r="M10" i="9" s="1"/>
  <c r="J10" i="9" l="1"/>
  <c r="J12" i="9" s="1"/>
  <c r="M30" i="3" s="1"/>
  <c r="M52" i="8"/>
  <c r="M54" i="8" s="1"/>
  <c r="L12" i="3" s="1"/>
  <c r="L52" i="8"/>
  <c r="L54" i="8" s="1"/>
  <c r="L30" i="3" s="1"/>
  <c r="L10" i="9"/>
  <c r="L12" i="9" s="1"/>
  <c r="M13" i="3" s="1"/>
  <c r="K10" i="9"/>
  <c r="K12" i="9" s="1"/>
  <c r="M12" i="3" s="1"/>
  <c r="M12" i="9"/>
  <c r="M14" i="3" s="1"/>
  <c r="O52" i="8"/>
  <c r="O54" i="8" s="1"/>
  <c r="L14" i="3" s="1"/>
  <c r="K35" i="8" l="1"/>
  <c r="J35" i="8"/>
  <c r="I35" i="8"/>
  <c r="H35" i="8"/>
  <c r="G35" i="8"/>
  <c r="F35" i="8"/>
  <c r="K28" i="8"/>
  <c r="J28" i="8"/>
  <c r="I28" i="8"/>
  <c r="H28" i="8"/>
  <c r="G28" i="8"/>
  <c r="F28" i="8"/>
  <c r="K21" i="8"/>
  <c r="J21" i="8"/>
  <c r="I21" i="8"/>
  <c r="H21" i="8"/>
  <c r="G21" i="8"/>
  <c r="F21" i="8"/>
  <c r="K14" i="8"/>
  <c r="J14" i="8"/>
  <c r="I14" i="8"/>
  <c r="H14" i="8"/>
  <c r="G14" i="8"/>
  <c r="F14" i="8"/>
  <c r="I10" i="9" l="1"/>
  <c r="I12" i="9" s="1"/>
  <c r="M23" i="3" s="1"/>
  <c r="H10" i="9"/>
  <c r="H12" i="9" s="1"/>
  <c r="M22" i="3" s="1"/>
  <c r="G10" i="9"/>
  <c r="G12" i="9" s="1"/>
  <c r="M21" i="3" s="1"/>
  <c r="F10" i="9"/>
  <c r="F12" i="9" s="1"/>
  <c r="M20" i="3" s="1"/>
  <c r="E10" i="9"/>
  <c r="E12" i="9" s="1"/>
  <c r="M19" i="3" s="1"/>
  <c r="D10" i="9"/>
  <c r="D12" i="9" s="1"/>
  <c r="M18" i="3" s="1"/>
  <c r="G50" i="8" l="1"/>
  <c r="H50" i="8"/>
  <c r="I50" i="8"/>
  <c r="J50" i="8"/>
  <c r="K50" i="8"/>
  <c r="G43" i="8"/>
  <c r="H43" i="8"/>
  <c r="G52" i="8" l="1"/>
  <c r="G54" i="8" s="1"/>
  <c r="L19" i="3" s="1"/>
  <c r="H52" i="8"/>
  <c r="H54" i="8" s="1"/>
  <c r="L20" i="3" s="1"/>
  <c r="F50" i="8"/>
  <c r="K43" i="8"/>
  <c r="K52" i="8" s="1"/>
  <c r="K54" i="8" s="1"/>
  <c r="L23" i="3" s="1"/>
  <c r="J43" i="8"/>
  <c r="J52" i="8" s="1"/>
  <c r="J54" i="8" s="1"/>
  <c r="L22" i="3" s="1"/>
  <c r="I43" i="8"/>
  <c r="I52" i="8" s="1"/>
  <c r="I54" i="8" s="1"/>
  <c r="L21" i="3" s="1"/>
  <c r="F43" i="8"/>
  <c r="F52" i="8" l="1"/>
  <c r="F54" i="8" s="1"/>
  <c r="L18" i="3" s="1"/>
  <c r="O46" i="3" l="1"/>
  <c r="D31" i="3"/>
  <c r="N31" i="3" s="1"/>
  <c r="D30" i="3"/>
  <c r="N30" i="3" s="1"/>
  <c r="D29" i="3"/>
  <c r="D28" i="3"/>
  <c r="D27" i="3"/>
  <c r="D26" i="3"/>
  <c r="D25" i="3"/>
  <c r="D24" i="3"/>
  <c r="D23" i="3"/>
  <c r="N23" i="3" s="1"/>
  <c r="D22" i="3"/>
  <c r="N22" i="3" s="1"/>
  <c r="D21" i="3"/>
  <c r="N21" i="3" s="1"/>
  <c r="D20" i="3"/>
  <c r="N20" i="3" s="1"/>
  <c r="D19" i="3"/>
  <c r="N19" i="3" s="1"/>
  <c r="D18" i="3"/>
  <c r="N18" i="3" s="1"/>
  <c r="D14" i="3"/>
  <c r="D13" i="3"/>
  <c r="B13" i="3" s="1"/>
  <c r="D12" i="3"/>
  <c r="D15" i="3" l="1"/>
  <c r="B12" i="3"/>
  <c r="D32" i="3"/>
  <c r="L29" i="3" l="1"/>
  <c r="L28" i="3"/>
  <c r="L27" i="3"/>
  <c r="L26" i="3"/>
  <c r="L25" i="3"/>
  <c r="L24" i="3"/>
  <c r="I36" i="3"/>
  <c r="B36" i="3"/>
  <c r="B34" i="3"/>
  <c r="C36" i="3"/>
  <c r="C34" i="3"/>
  <c r="C17" i="3"/>
  <c r="C11" i="3"/>
  <c r="C32" i="3" l="1"/>
  <c r="C15" i="3"/>
  <c r="N29" i="3"/>
  <c r="N28" i="3"/>
  <c r="N27" i="3"/>
  <c r="N26" i="3"/>
  <c r="N12" i="3"/>
  <c r="N25" i="3"/>
  <c r="N24" i="3"/>
  <c r="N14" i="3"/>
  <c r="N13" i="3"/>
  <c r="N15" i="3" l="1"/>
  <c r="N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4" i="3"/>
  <c r="B15" i="3" s="1"/>
  <c r="J17" i="3"/>
  <c r="K17" i="3" s="1"/>
  <c r="K32" i="3" s="1"/>
  <c r="J11" i="3"/>
  <c r="K11" i="3" s="1"/>
  <c r="K15" i="3" s="1"/>
  <c r="J36" i="3"/>
  <c r="K36" i="3" s="1"/>
  <c r="J34" i="3"/>
  <c r="K34" i="3" s="1"/>
  <c r="B32" i="3" l="1"/>
  <c r="N38" i="3"/>
  <c r="K38" i="3"/>
  <c r="G36" i="3" l="1"/>
  <c r="G34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4" i="3"/>
  <c r="G13" i="3"/>
  <c r="G12" i="3"/>
  <c r="F36" i="3"/>
  <c r="F34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4" i="3"/>
  <c r="F13" i="3"/>
  <c r="F12" i="3"/>
  <c r="E36" i="3"/>
  <c r="E34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4" i="3"/>
  <c r="E13" i="3"/>
  <c r="P13" i="3" s="1"/>
  <c r="E12" i="3"/>
  <c r="H20" i="3" l="1"/>
  <c r="P20" i="3"/>
  <c r="P14" i="3"/>
  <c r="K14" i="1" s="1"/>
  <c r="E14" i="2" s="1"/>
  <c r="F14" i="2" s="1"/>
  <c r="P25" i="3"/>
  <c r="K29" i="1" s="1"/>
  <c r="E24" i="2" s="1"/>
  <c r="F24" i="2" s="1"/>
  <c r="H36" i="3"/>
  <c r="O36" i="3" s="1"/>
  <c r="P26" i="3"/>
  <c r="K30" i="1" s="1"/>
  <c r="E25" i="2" s="1"/>
  <c r="F25" i="2" s="1"/>
  <c r="H30" i="3"/>
  <c r="P30" i="3"/>
  <c r="K42" i="1" s="1"/>
  <c r="E29" i="2" s="1"/>
  <c r="F29" i="2" s="1"/>
  <c r="K16" i="1"/>
  <c r="K13" i="1"/>
  <c r="E13" i="2" s="1"/>
  <c r="F13" i="2" s="1"/>
  <c r="H24" i="3"/>
  <c r="P24" i="3"/>
  <c r="K28" i="1" s="1"/>
  <c r="E23" i="2" s="1"/>
  <c r="F23" i="2" s="1"/>
  <c r="H28" i="3"/>
  <c r="P28" i="3"/>
  <c r="K32" i="1" s="1"/>
  <c r="E27" i="2" s="1"/>
  <c r="F27" i="2" s="1"/>
  <c r="P21" i="3"/>
  <c r="P29" i="3"/>
  <c r="K33" i="1" s="1"/>
  <c r="E28" i="2" s="1"/>
  <c r="F28" i="2" s="1"/>
  <c r="P18" i="3"/>
  <c r="P22" i="3"/>
  <c r="P12" i="3"/>
  <c r="H19" i="3"/>
  <c r="P19" i="3"/>
  <c r="H23" i="3"/>
  <c r="P23" i="3"/>
  <c r="H27" i="3"/>
  <c r="P27" i="3"/>
  <c r="K31" i="1" s="1"/>
  <c r="E26" i="2" s="1"/>
  <c r="F26" i="2" s="1"/>
  <c r="P31" i="3"/>
  <c r="H12" i="3"/>
  <c r="H13" i="3"/>
  <c r="H14" i="3"/>
  <c r="H21" i="3"/>
  <c r="H25" i="3"/>
  <c r="H29" i="3"/>
  <c r="H31" i="3"/>
  <c r="H18" i="3"/>
  <c r="H22" i="3"/>
  <c r="H26" i="3"/>
  <c r="H34" i="3"/>
  <c r="O34" i="3" s="1"/>
  <c r="P34" i="3" s="1"/>
  <c r="K57" i="1" s="1"/>
  <c r="E31" i="2" l="1"/>
  <c r="F31" i="2" s="1"/>
  <c r="N57" i="1"/>
  <c r="K17" i="1"/>
  <c r="K38" i="1"/>
  <c r="K26" i="1"/>
  <c r="E21" i="2" s="1"/>
  <c r="F21" i="2" s="1"/>
  <c r="K50" i="1"/>
  <c r="L50" i="1" s="1"/>
  <c r="K23" i="1"/>
  <c r="E18" i="2" s="1"/>
  <c r="F18" i="2" s="1"/>
  <c r="K35" i="1"/>
  <c r="K49" i="1"/>
  <c r="L49" i="1" s="1"/>
  <c r="K24" i="1"/>
  <c r="E19" i="2" s="1"/>
  <c r="F19" i="2" s="1"/>
  <c r="K36" i="1"/>
  <c r="K70" i="1"/>
  <c r="K22" i="1"/>
  <c r="E17" i="2" s="1"/>
  <c r="F17" i="2" s="1"/>
  <c r="K47" i="1"/>
  <c r="L47" i="1" s="1"/>
  <c r="K75" i="1"/>
  <c r="K54" i="1"/>
  <c r="L54" i="1" s="1"/>
  <c r="K48" i="1"/>
  <c r="L48" i="1" s="1"/>
  <c r="K76" i="1"/>
  <c r="K80" i="1"/>
  <c r="K71" i="1"/>
  <c r="K46" i="1"/>
  <c r="L46" i="1" s="1"/>
  <c r="K68" i="1"/>
  <c r="K34" i="1"/>
  <c r="K65" i="1"/>
  <c r="K79" i="1"/>
  <c r="K39" i="1"/>
  <c r="K82" i="1"/>
  <c r="K67" i="1"/>
  <c r="K74" i="1"/>
  <c r="K27" i="1"/>
  <c r="E22" i="2" s="1"/>
  <c r="F22" i="2" s="1"/>
  <c r="K15" i="1"/>
  <c r="K12" i="1"/>
  <c r="E12" i="2" s="1"/>
  <c r="K77" i="1"/>
  <c r="K73" i="1"/>
  <c r="K51" i="1"/>
  <c r="L51" i="1" s="1"/>
  <c r="K72" i="1"/>
  <c r="K66" i="1"/>
  <c r="K81" i="1"/>
  <c r="K25" i="1"/>
  <c r="E20" i="2" s="1"/>
  <c r="F20" i="2" s="1"/>
  <c r="K55" i="1"/>
  <c r="L55" i="1" s="1"/>
  <c r="K69" i="1"/>
  <c r="K78" i="1"/>
  <c r="K53" i="1"/>
  <c r="L53" i="1" s="1"/>
  <c r="K37" i="1"/>
  <c r="K52" i="1"/>
  <c r="L52" i="1" s="1"/>
  <c r="H15" i="3"/>
  <c r="O15" i="3" s="1"/>
  <c r="H32" i="3"/>
  <c r="O32" i="3" s="1"/>
  <c r="F12" i="2" l="1"/>
  <c r="H38" i="3"/>
  <c r="O38" i="3" s="1"/>
  <c r="L42" i="1" l="1"/>
  <c r="L14" i="1"/>
  <c r="L28" i="1"/>
  <c r="L16" i="1"/>
  <c r="L29" i="1"/>
  <c r="L33" i="1"/>
  <c r="L15" i="1"/>
  <c r="L13" i="1"/>
  <c r="L12" i="1"/>
  <c r="L17" i="1"/>
  <c r="L32" i="1"/>
  <c r="L69" i="1"/>
  <c r="L78" i="1"/>
  <c r="L67" i="1"/>
  <c r="L74" i="1"/>
  <c r="L80" i="1"/>
  <c r="L71" i="1"/>
  <c r="L36" i="1"/>
  <c r="L77" i="1"/>
  <c r="L31" i="1"/>
  <c r="L23" i="1"/>
  <c r="L68" i="1"/>
  <c r="L26" i="1"/>
  <c r="L79" i="1"/>
  <c r="L65" i="1"/>
  <c r="L22" i="1"/>
  <c r="L30" i="1"/>
  <c r="L81" i="1"/>
  <c r="L37" i="1"/>
  <c r="L66" i="1"/>
  <c r="L39" i="1"/>
  <c r="L35" i="1"/>
  <c r="L76" i="1"/>
  <c r="L70" i="1"/>
  <c r="L24" i="1"/>
  <c r="L38" i="1"/>
  <c r="L25" i="1"/>
  <c r="L27" i="1"/>
  <c r="L34" i="1"/>
  <c r="L73" i="1"/>
  <c r="L72" i="1"/>
  <c r="L82" i="1"/>
  <c r="L75" i="1"/>
  <c r="L57" i="1"/>
  <c r="G82" i="1" l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2" i="1" l="1"/>
  <c r="G61" i="1"/>
  <c r="G60" i="1"/>
  <c r="G57" i="1"/>
  <c r="G40" i="1"/>
  <c r="G41" i="1"/>
  <c r="G42" i="1"/>
  <c r="G43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K60" i="1" l="1"/>
  <c r="K61" i="1"/>
  <c r="G19" i="1"/>
  <c r="G17" i="1"/>
  <c r="G16" i="1"/>
  <c r="G15" i="1"/>
  <c r="G14" i="1"/>
  <c r="G13" i="1"/>
  <c r="G12" i="1"/>
  <c r="L61" i="1" l="1"/>
  <c r="E35" i="2"/>
  <c r="F35" i="2" s="1"/>
  <c r="L60" i="1"/>
  <c r="E34" i="2"/>
  <c r="G84" i="1"/>
  <c r="L62" i="1" l="1"/>
  <c r="K62" i="1" s="1"/>
  <c r="E36" i="2" s="1"/>
  <c r="F36" i="2" s="1"/>
  <c r="F34" i="2"/>
  <c r="F38" i="2" l="1"/>
  <c r="L84" i="1"/>
  <c r="E39" i="2"/>
  <c r="O49" i="3" l="1"/>
  <c r="O50" i="3" s="1"/>
</calcChain>
</file>

<file path=xl/comments1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Assumes luminaire +mast arm - travel time for mast.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Decorative = luminaire + pole - travel time for pole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upon 2019 Use of Facilities Report.  Includes return on capital, recovery of capital, state and federal income taxes and local property taxes.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O5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 goal seek on cell O52.</t>
        </r>
      </text>
    </comment>
  </commentList>
</comments>
</file>

<file path=xl/sharedStrings.xml><?xml version="1.0" encoding="utf-8"?>
<sst xmlns="http://schemas.openxmlformats.org/spreadsheetml/2006/main" count="927" uniqueCount="328">
  <si>
    <t>Pacific Power &amp; Light</t>
  </si>
  <si>
    <t>State of Washington</t>
  </si>
  <si>
    <t>12 Months Ended June 2019</t>
  </si>
  <si>
    <t>Lighting Class Cost Analysis</t>
  </si>
  <si>
    <t>Description</t>
  </si>
  <si>
    <t>Sch No.</t>
  </si>
  <si>
    <t xml:space="preserve">Present </t>
  </si>
  <si>
    <t>Revenue</t>
  </si>
  <si>
    <t>Proposed</t>
  </si>
  <si>
    <t>Units</t>
  </si>
  <si>
    <t>Quantity</t>
  </si>
  <si>
    <t>Price</t>
  </si>
  <si>
    <t>Outdoor Area Lighting</t>
  </si>
  <si>
    <t>Mercury Vapor - 7,000 Lumen</t>
  </si>
  <si>
    <t>Mercury Vapor - 21,000 Lumen</t>
  </si>
  <si>
    <t>Mercury Vapor - 55,000 Lumen</t>
  </si>
  <si>
    <t>Pole Charge</t>
  </si>
  <si>
    <t>Co/Cust</t>
  </si>
  <si>
    <t>Owned?</t>
  </si>
  <si>
    <t>Co</t>
  </si>
  <si>
    <t>Street Lighting Service - Company-Owned System</t>
  </si>
  <si>
    <t>LED - 4,600 Lumen</t>
  </si>
  <si>
    <t>LED - 5,600 Lumen</t>
  </si>
  <si>
    <t>LED - 8,400 Lumen</t>
  </si>
  <si>
    <t>LED - 9,800 Lumen</t>
  </si>
  <si>
    <t>LED - 17,100 Lumen</t>
  </si>
  <si>
    <t>LED - 22,100 Lumen</t>
  </si>
  <si>
    <t>LED - 4,600 Lumen - Cust. Funded Conv.</t>
  </si>
  <si>
    <t>LED - 5,600 Lumen - Cust. Funded Conv.</t>
  </si>
  <si>
    <t>LED - 8,400 Lumen - Cust. Funded Conv.</t>
  </si>
  <si>
    <t>LED - 9,800 Lumen - Cust. Funded Conv.</t>
  </si>
  <si>
    <t>LED - 17,100 Lumen - Cust. Funded Conv.</t>
  </si>
  <si>
    <t>LED - 22,100 Lumen - Cust. Funded Conv.</t>
  </si>
  <si>
    <t>Cust</t>
  </si>
  <si>
    <t>Street Lighting Service - Customer Owned System</t>
  </si>
  <si>
    <t>Recreational Field Lighting</t>
  </si>
  <si>
    <t>Basic Charge - Single Phase</t>
  </si>
  <si>
    <t>Basic Charge - Three Phase</t>
  </si>
  <si>
    <t>Energy Charge</t>
  </si>
  <si>
    <t>Mercury Vapor Street Lighting Service</t>
  </si>
  <si>
    <t>Prior to 1977 - OH - Wood Pole - Horizontal - 7,000 Lumen</t>
  </si>
  <si>
    <t>Prior to 1977 - OH - Wood Pole - Horizontal - 21,000 Lumen</t>
  </si>
  <si>
    <t>Prior to 1977 - OH - Wood Pole - Horizontal - 55,000 Lumen</t>
  </si>
  <si>
    <t>Prior to 1977 - OH - Wood Pole - Vertical - 7,000 Lumen</t>
  </si>
  <si>
    <t>Prior to 1977 - OH - Wood Pole - Vertical - 21,000 Lumen</t>
  </si>
  <si>
    <t>Prior to 1977 - OH - 26' Metal Pole - Horizontal - 7,000 Lumen</t>
  </si>
  <si>
    <t>Prior to 1977 - OH - 26' Metal Pole - Vertical - 7,000 Lumen</t>
  </si>
  <si>
    <t>Prior to 1977 - OH - 30' Metal Pole - Horizontal - 21,000 Lumen</t>
  </si>
  <si>
    <t>Prior to 1977 - OH - 30' Metal Pole - Vertical - 21,000 Lumen</t>
  </si>
  <si>
    <t>Prior to 1977 - OH - 33' Metal Pole - Horizontal - 55,000 Lumen</t>
  </si>
  <si>
    <t>Prior to 1977 - UG - 26' Metal Pole - Horizontal - 7,000 Lumen</t>
  </si>
  <si>
    <t>Prior to 1977 - UG - 26' Metal Pole - Vertical - 7,000 Lumen</t>
  </si>
  <si>
    <t>Prior to 1977 - UG - 30' Metal Pole - Horizontal - 21,000 Lumen</t>
  </si>
  <si>
    <t>Prior to 1977 - UG - 30' Metal Pole - Vertical - 21,000 Lumen</t>
  </si>
  <si>
    <t>Prior to 1977 - UG - 33' Metal Pole - Horizontal - 55,000 Lumen</t>
  </si>
  <si>
    <t>Post to 1977 - OH - Wood Pole - Horizontal - 7,000 Lumen</t>
  </si>
  <si>
    <t>Post to 1977 - OH - Wood Pole - Horizontal - 21,000 Lumen</t>
  </si>
  <si>
    <t>Post to 1977 - OH - Wood Pole - Horizontal - 55,000 Lumen</t>
  </si>
  <si>
    <t>Lamp Count</t>
  </si>
  <si>
    <t>kWh</t>
  </si>
  <si>
    <t>Bill Count</t>
  </si>
  <si>
    <t>Not Applicable</t>
  </si>
  <si>
    <t>Level 1 (0-3,500 LED Equivalent Lumens)</t>
  </si>
  <si>
    <t>Level 2 (3,501-5,500 LED Equivalent Lumens)</t>
  </si>
  <si>
    <t>Level 3 (5,500-8,000 LED Equivalent Lumens)</t>
  </si>
  <si>
    <t>Level 4 (8,001-12,000 LED Equivalent Lumens)</t>
  </si>
  <si>
    <t>Level 5 (12,001-15,500 LED Equivalent Lumens)</t>
  </si>
  <si>
    <t>Level 6 (15,501 and Greater LED Equivalent Lumens)</t>
  </si>
  <si>
    <t>Cust. Funded Conv. - Level 1 (0-3,500 LED Equivalent Lumens)</t>
  </si>
  <si>
    <t>Cust. Funded Conv. - Level 2 (3,501-5,500 LED Equivalent Lumens)</t>
  </si>
  <si>
    <t>Cust. Funded Conv. - Level 3 (5,500-8,000 LED Equivalent Lumens)</t>
  </si>
  <si>
    <t>Cust. Funded Conv. - Level 4 (8,001-12,000 LED Equivalent Lumens)</t>
  </si>
  <si>
    <t>Cust. Funded Conv. - Level 5 (12,001-15,500 LED Equivalent Lumens)</t>
  </si>
  <si>
    <t>Cust. Funded Conv. - Level 6 (15,501 and Greater LED Equivalent Lumens)</t>
  </si>
  <si>
    <t>Present</t>
  </si>
  <si>
    <t>Summary of Present and Proposed Lighting Prices</t>
  </si>
  <si>
    <t>Summary of Consolidated Proposed Lighting Prices</t>
  </si>
  <si>
    <t>Schedule 51 - Street Lighting Service - Company-Owned System</t>
  </si>
  <si>
    <t>Schedule 15 - Outdoor Area Lighting</t>
  </si>
  <si>
    <t>Schedule 53 - Street Lighting Service - Customer Owned System</t>
  </si>
  <si>
    <t>Schedule 54 - Recreational Field Lighting</t>
  </si>
  <si>
    <t>Energy</t>
  </si>
  <si>
    <t>(kWh)</t>
  </si>
  <si>
    <t>Customer</t>
  </si>
  <si>
    <t>Count</t>
  </si>
  <si>
    <t>Total GTD Cost</t>
  </si>
  <si>
    <t>($000)</t>
  </si>
  <si>
    <t>Generation/Transmission/Distribution Costs</t>
  </si>
  <si>
    <t>Customer-Related Costs</t>
  </si>
  <si>
    <t>Company-Owned</t>
  </si>
  <si>
    <t>Company-Owned Light Cost</t>
  </si>
  <si>
    <t>Fixture Maintenance</t>
  </si>
  <si>
    <t>($/month)</t>
  </si>
  <si>
    <t>Installation Cost</t>
  </si>
  <si>
    <t>($/kWh)</t>
  </si>
  <si>
    <t>Total Schedule 15</t>
  </si>
  <si>
    <t>Total Schedule 51</t>
  </si>
  <si>
    <t>Total Cost of</t>
  </si>
  <si>
    <t>New Service</t>
  </si>
  <si>
    <t>Cost of New Service for Lighting Schedules</t>
  </si>
  <si>
    <t>($/cust-mo)</t>
  </si>
  <si>
    <t>PacifiCorp</t>
  </si>
  <si>
    <t>Cost Of Service By Rate Schedule</t>
  </si>
  <si>
    <t>12 Months Ending December 2013</t>
  </si>
  <si>
    <t>Washington</t>
  </si>
  <si>
    <t>Small General</t>
  </si>
  <si>
    <t>Large General</t>
  </si>
  <si>
    <t>Agricultural</t>
  </si>
  <si>
    <t>Street &amp; Area</t>
  </si>
  <si>
    <t>Jurisdiction</t>
  </si>
  <si>
    <t>Residential</t>
  </si>
  <si>
    <t>Service</t>
  </si>
  <si>
    <t>Service &lt;1,000 kW</t>
  </si>
  <si>
    <t>Service &gt;1,000 kW</t>
  </si>
  <si>
    <t>Dedicated Facilities</t>
  </si>
  <si>
    <t>Pumping</t>
  </si>
  <si>
    <t>Lighting</t>
  </si>
  <si>
    <t>Normalized</t>
  </si>
  <si>
    <t>Schedule 16</t>
  </si>
  <si>
    <t>Schedule 24</t>
  </si>
  <si>
    <t>Schedule 36</t>
  </si>
  <si>
    <t>Schedule 48T</t>
  </si>
  <si>
    <t>Schedule 40</t>
  </si>
  <si>
    <t>Sch. 15,51-54,57</t>
  </si>
  <si>
    <t>UNITS</t>
  </si>
  <si>
    <t>Annual KWH</t>
  </si>
  <si>
    <t>Average Customers</t>
  </si>
  <si>
    <t>Revenue Requirement</t>
  </si>
  <si>
    <t>Per KWH</t>
  </si>
  <si>
    <t>Per Customer</t>
  </si>
  <si>
    <t>GENERATION-TOTAL</t>
  </si>
  <si>
    <t>GENERATION-DEMAND</t>
  </si>
  <si>
    <t>GENERATION-ENERGY</t>
  </si>
  <si>
    <t>TRANSMISSION-TOTAL</t>
  </si>
  <si>
    <t>TRANSMISSION-DEMAND</t>
  </si>
  <si>
    <t>TRANSMISSION-ENERGY</t>
  </si>
  <si>
    <t>DISTRIBUTION-TOTAL</t>
  </si>
  <si>
    <t>DISTRIBUTION-SUBSTATION</t>
  </si>
  <si>
    <t>DISTRIBUTION- P &amp; C</t>
  </si>
  <si>
    <t>DISTRIBUTION-TRANSFORMER</t>
  </si>
  <si>
    <t>DISTRIBUTION-METER</t>
  </si>
  <si>
    <t>DISTRIBUTION-SERVICE</t>
  </si>
  <si>
    <t>Load Factor</t>
  </si>
  <si>
    <t>Retail Cost</t>
  </si>
  <si>
    <t>Light Level</t>
  </si>
  <si>
    <t>Target Initial Lumens (in LED equivalent)*</t>
  </si>
  <si>
    <t>LED Equivalent Range **</t>
  </si>
  <si>
    <t>&lt;3500</t>
  </si>
  <si>
    <t>3501-5500</t>
  </si>
  <si>
    <t>5501-8000</t>
  </si>
  <si>
    <t>8001-12000</t>
  </si>
  <si>
    <t>12001-15500</t>
  </si>
  <si>
    <t>&gt;15501</t>
  </si>
  <si>
    <t>Annual Energy (kWh)</t>
  </si>
  <si>
    <t>Area Lights</t>
  </si>
  <si>
    <t>PACIFIC POWER &amp; LIGHT COMPANY</t>
  </si>
  <si>
    <t>STATE OF WASHINGTON</t>
  </si>
  <si>
    <t>12 MONTHS ENDED JUNE 2019</t>
  </si>
  <si>
    <t>(Including Effects of Unbilled Revenue, Unbilled MWh and Weather Normalization)</t>
  </si>
  <si>
    <t>Actual</t>
  </si>
  <si>
    <t>Dollars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</si>
  <si>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</si>
  <si>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</si>
  <si>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</si>
  <si>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</si>
  <si>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</si>
  <si>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</si>
  <si>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</si>
  <si>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</si>
  <si>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</si>
  <si>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</si>
  <si>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</si>
  <si>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¢</t>
  </si>
  <si>
    <t>Total Bills</t>
  </si>
  <si>
    <t>Subtotal</t>
  </si>
  <si>
    <t xml:space="preserve">  Unbilled</t>
  </si>
  <si>
    <t>Total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</si>
  <si>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</si>
  <si>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</si>
  <si>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</si>
  <si>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</si>
  <si>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</si>
  <si>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</si>
  <si>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</si>
  <si>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</si>
  <si>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</si>
  <si>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</si>
  <si>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</si>
  <si>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 xml:space="preserve">LED </t>
  </si>
  <si>
    <t xml:space="preserve">    4,600 Lumens</t>
  </si>
  <si>
    <t xml:space="preserve">    5,600 Lumens</t>
  </si>
  <si>
    <t xml:space="preserve">    8,400 Lumens</t>
  </si>
  <si>
    <t xml:space="preserve">    9,800 Lumens</t>
  </si>
  <si>
    <t xml:space="preserve">    17,100 Lumens</t>
  </si>
  <si>
    <t xml:space="preserve">    22,100 Lumens</t>
  </si>
  <si>
    <t>LED - Customer Funded Conversion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</si>
  <si>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</si>
  <si>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</si>
  <si>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</si>
  <si>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</si>
  <si>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</si>
  <si>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</si>
  <si>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</si>
  <si>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</si>
  <si>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 xml:space="preserve">  Subtotal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</si>
  <si>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</si>
  <si>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</si>
  <si>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</si>
  <si>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</si>
  <si>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</si>
  <si>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Total Customers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</si>
  <si>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</si>
  <si>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</si>
  <si>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</si>
  <si>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</si>
  <si>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</si>
  <si>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 xml:space="preserve"> </t>
  </si>
  <si>
    <t>Listed Lumen-Energy Only</t>
  </si>
  <si>
    <t>SCHEDULE 54</t>
  </si>
  <si>
    <t xml:space="preserve">  Basic Charge 1 Phase</t>
  </si>
  <si>
    <t xml:space="preserve">  Basic Charge 3 Phase</t>
  </si>
  <si>
    <t xml:space="preserve">  Total Bills</t>
  </si>
  <si>
    <t xml:space="preserve">  All kWh</t>
  </si>
  <si>
    <t xml:space="preserve">  Total</t>
  </si>
  <si>
    <t>SCHEDULE 57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</si>
  <si>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</si>
  <si>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</si>
  <si>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</si>
  <si>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</si>
  <si>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</si>
  <si>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</si>
  <si>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</si>
  <si>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</si>
  <si>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Unit Costs @ Target ROR</t>
  </si>
  <si>
    <t>CP Load Factor</t>
  </si>
  <si>
    <t>Total Cost of New Service for Lighting Class</t>
  </si>
  <si>
    <t>Total Embedded Cost of Service for Lighting Class</t>
  </si>
  <si>
    <t>Gn Cost</t>
  </si>
  <si>
    <t>Tr Cost</t>
  </si>
  <si>
    <t>Dist Cost</t>
  </si>
  <si>
    <t>Mtr/Svc/Xfmr Cost</t>
  </si>
  <si>
    <t>Total Cust-Related Cost</t>
  </si>
  <si>
    <t>Total Co-Owned Light Cost</t>
  </si>
  <si>
    <t>Per Unit Cost</t>
  </si>
  <si>
    <t>of New</t>
  </si>
  <si>
    <t>Target Revenue Requirement for Lighting Class</t>
  </si>
  <si>
    <t>Proposed Revenue</t>
  </si>
  <si>
    <t>Difference</t>
  </si>
  <si>
    <t>Adjustment Factor</t>
  </si>
  <si>
    <t>Descriptions</t>
  </si>
  <si>
    <t>Light Type</t>
  </si>
  <si>
    <t>Hours</t>
  </si>
  <si>
    <t>Rate</t>
  </si>
  <si>
    <t xml:space="preserve">  Material Cost</t>
  </si>
  <si>
    <t>Total Cost</t>
  </si>
  <si>
    <t>Annual Frequency</t>
  </si>
  <si>
    <t>Annual Cost</t>
  </si>
  <si>
    <t xml:space="preserve">  Labor</t>
  </si>
  <si>
    <t xml:space="preserve">Replace Photo Cell </t>
  </si>
  <si>
    <t>Replace Luminaire</t>
  </si>
  <si>
    <t>Level</t>
  </si>
  <si>
    <t>Total Annual Maintenance</t>
  </si>
  <si>
    <t>Replace Pole (wood)</t>
  </si>
  <si>
    <t>Replace Pole and arm (metal)</t>
  </si>
  <si>
    <t>Replace Fiberglass Pole</t>
  </si>
  <si>
    <t>Replace Mast Arm</t>
  </si>
  <si>
    <t>Total Monthly Maintenance</t>
  </si>
  <si>
    <t>Annualization @</t>
  </si>
  <si>
    <t>Average Monthly Revenue Requirement</t>
  </si>
  <si>
    <t>Streetlighting Installation Costs</t>
  </si>
  <si>
    <t>Company-Owned Lighting Maintenance Costs</t>
  </si>
  <si>
    <t>LED Area Lights</t>
  </si>
  <si>
    <t>LED Street Lights</t>
  </si>
  <si>
    <t>Decorative LED Street Lights</t>
  </si>
  <si>
    <t>CLOSED</t>
  </si>
  <si>
    <t>High Pressure Sodium Vapor - 5,800 Lumen</t>
  </si>
  <si>
    <t>High Pressure Sodium Vapor - 22,000 Lumen</t>
  </si>
  <si>
    <t>High Pressure Sodium Vapor - 50,000 Lumen</t>
  </si>
  <si>
    <t>High Pressure Sodium Vapor - 9,500 Lumen</t>
  </si>
  <si>
    <t>High Pressure Sodium Vapor - 16,000 Lumen</t>
  </si>
  <si>
    <t>High Pressure Sodium Vapor - 27,500 Lumen</t>
  </si>
  <si>
    <t>High Pressure Sodium Vapor - 9,500 Lumen - Decorative Series 1</t>
  </si>
  <si>
    <t>High Pressure Sodium Vapor - 9,500 Lumen - Decorative Series 2</t>
  </si>
  <si>
    <t>High Pressure Sodium Vapor - 16,000 Lumen - Decorative Series 1</t>
  </si>
  <si>
    <t>High Pressure Sodium Vapor - 16,000 Lumen - Decorative Series 2</t>
  </si>
  <si>
    <t>Incandescent - 2,500 Lumen + $1.31697 O&amp;M</t>
  </si>
  <si>
    <t>Incandescent - 4,000 Lumen + $1.37191 O&amp;M</t>
  </si>
  <si>
    <t>Incandescent - 6,000 Lumen + $1.41707 O&amp;M</t>
  </si>
  <si>
    <t>High Pressure Sodium Vapor - 9,500 Lumen + $7.88516 O&amp;M</t>
  </si>
  <si>
    <t>High Pressure Sodium Vapor - 9,500 Lumen + $8.43516 O&amp;M</t>
  </si>
  <si>
    <t>High Pressure Sodium Vapor - 22,000 Lumen + $8.64565 O&amp;M</t>
  </si>
  <si>
    <t>High Pressure Sodium Vapor - 22,000 Lumen + $9.29565 O&amp;M</t>
  </si>
  <si>
    <t>High Pressure Sodium Vapor - 22,000 Lumen + $9.83565 O&amp;M</t>
  </si>
  <si>
    <t>Mercury Vapor - 7,000 Lumen + $5.96164 O&amp;M</t>
  </si>
  <si>
    <t>Mercury Vapor - 21,000 Lumen + $0.91108 O&amp;M</t>
  </si>
  <si>
    <t>Level 1 (0-5,500 LED Equivalent Lumens)</t>
  </si>
  <si>
    <t>Level 2 (5,501-12,000 LED Equivalent Lumens)</t>
  </si>
  <si>
    <t>Level 3 (12,001 and Greater LED Equivalent Lumens)</t>
  </si>
  <si>
    <t>% Barn Style</t>
  </si>
  <si>
    <t>% Flood Style</t>
  </si>
  <si>
    <t>Class</t>
  </si>
  <si>
    <t>Unit Count</t>
  </si>
  <si>
    <t>Commercial</t>
  </si>
  <si>
    <t>Industrial</t>
  </si>
  <si>
    <t>Est. Barn Style Count</t>
  </si>
  <si>
    <t>Est. Flood Style Count</t>
  </si>
  <si>
    <t>Overall</t>
  </si>
  <si>
    <t>0-5500</t>
  </si>
  <si>
    <t>5501-12000</t>
  </si>
  <si>
    <t>&gt;12001</t>
  </si>
  <si>
    <t>2 man</t>
  </si>
  <si>
    <t>30'</t>
  </si>
  <si>
    <t>35'</t>
  </si>
  <si>
    <t>40'</t>
  </si>
  <si>
    <t>25'</t>
  </si>
  <si>
    <t>Single man</t>
  </si>
  <si>
    <t>Street and Area Light Energy Consumption by Level of Service</t>
  </si>
  <si>
    <t>Unique Price Count</t>
  </si>
  <si>
    <t>Decorative Series - Level 3 (5,500-8,000 LED Equivalent Lumens)</t>
  </si>
  <si>
    <t>Cust. Funded Conv. - Decorative - Lvl 3 (5,500-8,000 LED Equivalent Lumens)</t>
  </si>
  <si>
    <t>NCP kW</t>
  </si>
  <si>
    <t>GTDCCO TOTAL</t>
  </si>
  <si>
    <t>Per NCP kW</t>
  </si>
  <si>
    <t>CUSTOMER-TOTAL</t>
  </si>
  <si>
    <t>COMMON-TOTAL</t>
  </si>
  <si>
    <t>12 Months Ending June 2019</t>
  </si>
  <si>
    <t>Revised Embedded Cost of Service for Lighting Class</t>
  </si>
  <si>
    <t>Total Lighting Class Unbilled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</si>
</sst>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&quot;$&quot;#,##0.00000"/>
    <numFmt numFmtId="168" formatCode="_(* #,##0.000_);_(* \(#,##0.000\);_(* &quot;-&quot;??_);_(@_)"/>
    <numFmt numFmtId="169" formatCode="_(* #,##0.00000_);_(* \(#,##0.00000\);_(* &quot;-&quot;??_);_(@_)"/>
    <numFmt numFmtId="170" formatCode="0.00000"/>
    <numFmt numFmtId="171" formatCode="_(* #,##0.0_);_(* \(#,##0.0\);_(* &quot;-&quot;??_);_(@_)"/>
    <numFmt numFmtId="172" formatCode="0.000_)"/>
    <numFmt numFmtId="173" formatCode="0.000"/>
    <numFmt numFmtId="174" formatCode="0.0000_)"/>
    <numFmt numFmtId="175" formatCode="0.0000"/>
    <numFmt numFmtId="176" formatCode="#,##0.000"/>
    <numFmt numFmtId="177" formatCode="0.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/>
    <xf numFmtId="0" fontId="6" fillId="0" borderId="0"/>
    <xf numFmtId="0" fontId="20" fillId="0" borderId="0"/>
    <xf numFmtId="9" fontId="2" fillId="0" borderId="0" applyFont="0" applyFill="0" applyBorder="0" applyAlignment="0" applyProtection="0"/>
    <xf numFmtId="0" fontId="6" fillId="0" borderId="0"/>
  </cellStyleXfs>
  <cellXfs count="2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9" xfId="0" quotePrefix="1" applyFont="1" applyBorder="1"/>
    <xf numFmtId="6" fontId="1" fillId="0" borderId="11" xfId="0" quotePrefix="1" applyNumberFormat="1" applyFont="1" applyBorder="1"/>
    <xf numFmtId="0" fontId="1" fillId="0" borderId="10" xfId="0" quotePrefix="1" applyFont="1" applyBorder="1"/>
    <xf numFmtId="0" fontId="1" fillId="0" borderId="12" xfId="0" applyFont="1" applyBorder="1" applyAlignment="1">
      <alignment horizontal="centerContinuous"/>
    </xf>
    <xf numFmtId="0" fontId="1" fillId="0" borderId="13" xfId="0" applyFont="1" applyBorder="1"/>
    <xf numFmtId="0" fontId="1" fillId="0" borderId="14" xfId="0" applyFont="1" applyBorder="1"/>
    <xf numFmtId="0" fontId="1" fillId="0" borderId="13" xfId="0" applyFont="1" applyFill="1" applyBorder="1"/>
    <xf numFmtId="6" fontId="1" fillId="0" borderId="14" xfId="0" quotePrefix="1" applyNumberFormat="1" applyFont="1" applyBorder="1"/>
    <xf numFmtId="0" fontId="1" fillId="0" borderId="12" xfId="0" applyFont="1" applyBorder="1"/>
    <xf numFmtId="1" fontId="4" fillId="0" borderId="0" xfId="2" applyNumberFormat="1" applyFont="1" applyFill="1"/>
    <xf numFmtId="41" fontId="4" fillId="0" borderId="0" xfId="2" applyFont="1" applyFill="1" applyAlignment="1">
      <alignment horizontal="left"/>
    </xf>
    <xf numFmtId="41" fontId="5" fillId="0" borderId="0" xfId="2" applyFont="1" applyFill="1"/>
    <xf numFmtId="1" fontId="4" fillId="0" borderId="0" xfId="2" applyNumberFormat="1" applyFont="1" applyFill="1" applyAlignment="1">
      <alignment horizontal="centerContinuous"/>
    </xf>
    <xf numFmtId="1" fontId="4" fillId="0" borderId="0" xfId="2" applyNumberFormat="1" applyFont="1" applyFill="1" applyAlignment="1"/>
    <xf numFmtId="0" fontId="1" fillId="3" borderId="3" xfId="0" applyFont="1" applyFill="1" applyBorder="1"/>
    <xf numFmtId="0" fontId="1" fillId="3" borderId="3" xfId="0" applyNumberFormat="1" applyFont="1" applyFill="1" applyBorder="1" applyAlignment="1">
      <alignment horizontal="right" wrapText="1"/>
    </xf>
    <xf numFmtId="0" fontId="0" fillId="0" borderId="3" xfId="0" applyNumberFormat="1" applyFill="1" applyBorder="1"/>
    <xf numFmtId="0" fontId="0" fillId="0" borderId="3" xfId="0" applyNumberFormat="1" applyBorder="1" applyAlignment="1">
      <alignment horizontal="right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10" fillId="0" borderId="0" xfId="0" applyNumberFormat="1" applyFont="1" applyFill="1" applyAlignment="1" applyProtection="1">
      <alignment horizontal="center"/>
    </xf>
    <xf numFmtId="0" fontId="10" fillId="0" borderId="0" xfId="0" applyFont="1" applyFill="1" applyProtection="1"/>
    <xf numFmtId="0" fontId="0" fillId="0" borderId="0" xfId="0" applyFill="1"/>
    <xf numFmtId="0" fontId="10" fillId="0" borderId="0" xfId="0" applyFont="1" applyFill="1" applyAlignment="1" applyProtection="1">
      <alignment horizontal="center"/>
    </xf>
    <xf numFmtId="37" fontId="10" fillId="0" borderId="16" xfId="0" applyNumberFormat="1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2" fillId="0" borderId="0" xfId="5" applyNumberFormat="1" applyFont="1" applyFill="1"/>
    <xf numFmtId="5" fontId="13" fillId="0" borderId="0" xfId="0" applyNumberFormat="1" applyFont="1" applyFill="1" applyProtection="1"/>
    <xf numFmtId="0" fontId="12" fillId="0" borderId="0" xfId="5" applyNumberFormat="1" applyFont="1" applyFill="1"/>
    <xf numFmtId="0" fontId="0" fillId="0" borderId="0" xfId="0" applyFill="1" applyBorder="1"/>
    <xf numFmtId="7" fontId="12" fillId="0" borderId="0" xfId="5" applyNumberFormat="1" applyFont="1" applyFill="1" applyBorder="1"/>
    <xf numFmtId="5" fontId="0" fillId="0" borderId="0" xfId="0" applyNumberFormat="1" applyFill="1" applyBorder="1" applyProtection="1"/>
    <xf numFmtId="37" fontId="0" fillId="0" borderId="17" xfId="0" applyNumberFormat="1" applyFont="1" applyFill="1" applyBorder="1" applyProtection="1"/>
    <xf numFmtId="5" fontId="13" fillId="0" borderId="18" xfId="0" applyNumberFormat="1" applyFont="1" applyFill="1" applyBorder="1" applyProtection="1"/>
    <xf numFmtId="5" fontId="13" fillId="0" borderId="17" xfId="0" applyNumberFormat="1" applyFont="1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8" fontId="12" fillId="0" borderId="0" xfId="5" applyNumberFormat="1" applyFont="1" applyFill="1"/>
    <xf numFmtId="0" fontId="0" fillId="0" borderId="0" xfId="0" applyFont="1" applyFill="1"/>
    <xf numFmtId="0" fontId="14" fillId="0" borderId="0" xfId="0" applyFont="1" applyFill="1"/>
    <xf numFmtId="37" fontId="13" fillId="0" borderId="0" xfId="0" applyNumberFormat="1" applyFont="1" applyFill="1" applyProtection="1"/>
    <xf numFmtId="7" fontId="12" fillId="0" borderId="0" xfId="0" applyNumberFormat="1" applyFont="1" applyFill="1" applyProtection="1">
      <protection locked="0"/>
    </xf>
    <xf numFmtId="173" fontId="12" fillId="0" borderId="0" xfId="0" applyNumberFormat="1" applyFont="1" applyFill="1" applyProtection="1"/>
    <xf numFmtId="5" fontId="13" fillId="0" borderId="0" xfId="0" applyNumberFormat="1" applyFont="1" applyFill="1" applyAlignment="1" applyProtection="1">
      <alignment horizontal="right"/>
    </xf>
    <xf numFmtId="174" fontId="13" fillId="0" borderId="0" xfId="0" applyNumberFormat="1" applyFont="1" applyFill="1" applyProtection="1"/>
    <xf numFmtId="37" fontId="13" fillId="0" borderId="17" xfId="0" applyNumberFormat="1" applyFont="1" applyFill="1" applyBorder="1" applyProtection="1"/>
    <xf numFmtId="172" fontId="13" fillId="0" borderId="18" xfId="0" applyNumberFormat="1" applyFont="1" applyFill="1" applyBorder="1" applyProtection="1"/>
    <xf numFmtId="0" fontId="13" fillId="0" borderId="18" xfId="0" applyFont="1" applyFill="1" applyBorder="1" applyProtection="1"/>
    <xf numFmtId="172" fontId="13" fillId="0" borderId="0" xfId="0" applyNumberFormat="1" applyFont="1" applyFill="1" applyProtection="1"/>
    <xf numFmtId="173" fontId="14" fillId="0" borderId="0" xfId="0" applyNumberFormat="1" applyFont="1" applyFill="1" applyProtection="1"/>
    <xf numFmtId="172" fontId="13" fillId="0" borderId="0" xfId="0" applyNumberFormat="1" applyFont="1" applyFill="1" applyProtection="1">
      <protection locked="0"/>
    </xf>
    <xf numFmtId="168" fontId="12" fillId="0" borderId="0" xfId="3" applyNumberFormat="1" applyFont="1" applyFill="1" applyProtection="1">
      <protection locked="0"/>
    </xf>
    <xf numFmtId="37" fontId="0" fillId="0" borderId="0" xfId="0" applyNumberFormat="1" applyFont="1" applyFill="1" applyProtection="1"/>
    <xf numFmtId="37" fontId="0" fillId="0" borderId="16" xfId="0" applyNumberFormat="1" applyFont="1" applyFill="1" applyBorder="1" applyProtection="1"/>
    <xf numFmtId="0" fontId="0" fillId="0" borderId="0" xfId="0" applyFill="1" applyBorder="1" applyProtection="1"/>
    <xf numFmtId="5" fontId="13" fillId="0" borderId="16" xfId="0" applyNumberFormat="1" applyFont="1" applyFill="1" applyBorder="1" applyAlignment="1" applyProtection="1">
      <alignment horizontal="right"/>
    </xf>
    <xf numFmtId="37" fontId="13" fillId="0" borderId="18" xfId="0" applyNumberFormat="1" applyFont="1" applyFill="1" applyBorder="1" applyProtection="1"/>
    <xf numFmtId="0" fontId="13" fillId="0" borderId="0" xfId="0" applyFont="1" applyFill="1"/>
    <xf numFmtId="0" fontId="15" fillId="0" borderId="0" xfId="0" applyFont="1" applyFill="1"/>
    <xf numFmtId="0" fontId="12" fillId="0" borderId="0" xfId="0" applyFont="1" applyFill="1"/>
    <xf numFmtId="0" fontId="16" fillId="0" borderId="0" xfId="0" applyFont="1" applyFill="1"/>
    <xf numFmtId="7" fontId="14" fillId="0" borderId="0" xfId="5" applyNumberFormat="1" applyFont="1" applyFill="1"/>
    <xf numFmtId="164" fontId="0" fillId="0" borderId="0" xfId="0" applyNumberFormat="1"/>
    <xf numFmtId="164" fontId="1" fillId="0" borderId="0" xfId="1" applyNumberFormat="1" applyFont="1" applyBorder="1"/>
    <xf numFmtId="0" fontId="0" fillId="0" borderId="0" xfId="0" applyBorder="1"/>
    <xf numFmtId="0" fontId="0" fillId="0" borderId="2" xfId="0" applyBorder="1"/>
    <xf numFmtId="0" fontId="0" fillId="0" borderId="1" xfId="0" applyBorder="1"/>
    <xf numFmtId="164" fontId="0" fillId="0" borderId="0" xfId="1" applyNumberFormat="1" applyFont="1" applyBorder="1"/>
    <xf numFmtId="43" fontId="0" fillId="0" borderId="0" xfId="0" applyNumberFormat="1" applyBorder="1"/>
    <xf numFmtId="171" fontId="0" fillId="0" borderId="0" xfId="1" applyNumberFormat="1" applyFont="1" applyBorder="1"/>
    <xf numFmtId="0" fontId="0" fillId="0" borderId="1" xfId="0" applyBorder="1" applyAlignment="1">
      <alignment horizontal="left" indent="2"/>
    </xf>
    <xf numFmtId="164" fontId="0" fillId="0" borderId="0" xfId="1" applyNumberFormat="1" applyFont="1" applyBorder="1" applyAlignment="1">
      <alignment horizontal="left" indent="2"/>
    </xf>
    <xf numFmtId="169" fontId="0" fillId="0" borderId="0" xfId="1" applyNumberFormat="1" applyFont="1" applyBorder="1"/>
    <xf numFmtId="170" fontId="0" fillId="0" borderId="0" xfId="0" applyNumberFormat="1" applyBorder="1"/>
    <xf numFmtId="171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43" fontId="0" fillId="0" borderId="0" xfId="0" applyNumberFormat="1" applyFill="1" applyBorder="1"/>
    <xf numFmtId="43" fontId="0" fillId="0" borderId="0" xfId="1" applyFont="1" applyFill="1" applyBorder="1"/>
    <xf numFmtId="43" fontId="0" fillId="0" borderId="0" xfId="0" applyNumberFormat="1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left"/>
    </xf>
    <xf numFmtId="164" fontId="0" fillId="0" borderId="5" xfId="1" applyNumberFormat="1" applyFont="1" applyBorder="1" applyAlignment="1">
      <alignment horizontal="left" indent="2"/>
    </xf>
    <xf numFmtId="0" fontId="0" fillId="0" borderId="5" xfId="0" applyBorder="1"/>
    <xf numFmtId="171" fontId="0" fillId="0" borderId="5" xfId="0" applyNumberFormat="1" applyBorder="1"/>
    <xf numFmtId="164" fontId="0" fillId="0" borderId="5" xfId="1" applyNumberFormat="1" applyFont="1" applyBorder="1" applyAlignment="1">
      <alignment horizontal="left"/>
    </xf>
    <xf numFmtId="169" fontId="0" fillId="0" borderId="5" xfId="1" applyNumberFormat="1" applyFont="1" applyBorder="1"/>
    <xf numFmtId="170" fontId="0" fillId="0" borderId="5" xfId="0" applyNumberFormat="1" applyBorder="1"/>
    <xf numFmtId="171" fontId="0" fillId="0" borderId="5" xfId="1" applyNumberFormat="1" applyFont="1" applyBorder="1"/>
    <xf numFmtId="43" fontId="0" fillId="0" borderId="5" xfId="0" applyNumberFormat="1" applyBorder="1"/>
    <xf numFmtId="0" fontId="0" fillId="0" borderId="4" xfId="0" applyBorder="1"/>
    <xf numFmtId="37" fontId="0" fillId="0" borderId="5" xfId="0" applyNumberFormat="1" applyBorder="1"/>
    <xf numFmtId="164" fontId="0" fillId="0" borderId="5" xfId="1" applyNumberFormat="1" applyFont="1" applyBorder="1"/>
    <xf numFmtId="43" fontId="0" fillId="0" borderId="5" xfId="1" applyFont="1" applyBorder="1"/>
    <xf numFmtId="171" fontId="0" fillId="0" borderId="6" xfId="1" applyNumberFormat="1" applyFont="1" applyBorder="1"/>
    <xf numFmtId="171" fontId="0" fillId="0" borderId="2" xfId="1" applyNumberFormat="1" applyFont="1" applyBorder="1"/>
    <xf numFmtId="43" fontId="0" fillId="0" borderId="10" xfId="0" applyNumberFormat="1" applyBorder="1"/>
    <xf numFmtId="171" fontId="0" fillId="0" borderId="11" xfId="1" applyNumberFormat="1" applyFont="1" applyBorder="1"/>
    <xf numFmtId="168" fontId="0" fillId="0" borderId="0" xfId="0" applyNumberFormat="1"/>
    <xf numFmtId="0" fontId="0" fillId="0" borderId="13" xfId="0" applyBorder="1"/>
    <xf numFmtId="43" fontId="0" fillId="0" borderId="13" xfId="1" applyFont="1" applyBorder="1"/>
    <xf numFmtId="0" fontId="0" fillId="0" borderId="14" xfId="0" applyBorder="1"/>
    <xf numFmtId="43" fontId="0" fillId="0" borderId="12" xfId="1" applyFont="1" applyBorder="1"/>
    <xf numFmtId="43" fontId="0" fillId="0" borderId="14" xfId="1" applyFont="1" applyBorder="1"/>
    <xf numFmtId="169" fontId="0" fillId="0" borderId="13" xfId="1" applyNumberFormat="1" applyFont="1" applyBorder="1"/>
    <xf numFmtId="43" fontId="0" fillId="0" borderId="5" xfId="1" applyNumberFormat="1" applyFont="1" applyBorder="1"/>
    <xf numFmtId="0" fontId="0" fillId="0" borderId="0" xfId="0" applyAlignment="1">
      <alignment horizontal="right"/>
    </xf>
    <xf numFmtId="0" fontId="8" fillId="0" borderId="0" xfId="7" applyFont="1" applyFill="1" applyAlignment="1">
      <alignment horizontal="centerContinuous"/>
    </xf>
    <xf numFmtId="0" fontId="17" fillId="0" borderId="0" xfId="7" applyFont="1" applyFill="1" applyAlignment="1">
      <alignment horizontal="centerContinuous"/>
    </xf>
    <xf numFmtId="0" fontId="6" fillId="0" borderId="0" xfId="7" applyFill="1" applyAlignment="1">
      <alignment horizontal="centerContinuous"/>
    </xf>
    <xf numFmtId="0" fontId="6" fillId="0" borderId="0" xfId="7" applyFill="1"/>
    <xf numFmtId="0" fontId="18" fillId="0" borderId="0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center"/>
    </xf>
    <xf numFmtId="0" fontId="18" fillId="0" borderId="3" xfId="7" applyFont="1" applyFill="1" applyBorder="1" applyAlignment="1">
      <alignment horizontal="right"/>
    </xf>
    <xf numFmtId="0" fontId="18" fillId="0" borderId="4" xfId="7" applyFont="1" applyFill="1" applyBorder="1" applyAlignment="1">
      <alignment horizontal="centerContinuous"/>
    </xf>
    <xf numFmtId="0" fontId="18" fillId="0" borderId="5" xfId="7" applyFont="1" applyFill="1" applyBorder="1" applyAlignment="1">
      <alignment horizontal="centerContinuous"/>
    </xf>
    <xf numFmtId="0" fontId="6" fillId="0" borderId="5" xfId="7" applyFill="1" applyBorder="1" applyAlignment="1">
      <alignment horizontal="centerContinuous"/>
    </xf>
    <xf numFmtId="0" fontId="6" fillId="0" borderId="6" xfId="7" applyFill="1" applyBorder="1" applyAlignment="1">
      <alignment horizontal="centerContinuous"/>
    </xf>
    <xf numFmtId="0" fontId="18" fillId="0" borderId="10" xfId="7" applyFont="1" applyFill="1" applyBorder="1"/>
    <xf numFmtId="0" fontId="18" fillId="0" borderId="4" xfId="7" applyFont="1" applyFill="1" applyBorder="1"/>
    <xf numFmtId="0" fontId="18" fillId="0" borderId="10" xfId="7" quotePrefix="1" applyFont="1" applyFill="1" applyBorder="1" applyAlignment="1">
      <alignment horizontal="center"/>
    </xf>
    <xf numFmtId="0" fontId="6" fillId="0" borderId="5" xfId="7" applyFill="1" applyBorder="1"/>
    <xf numFmtId="0" fontId="18" fillId="0" borderId="0" xfId="7" applyFont="1" applyFill="1" applyBorder="1"/>
    <xf numFmtId="0" fontId="6" fillId="0" borderId="0" xfId="7" applyFill="1" applyAlignment="1">
      <alignment horizontal="center"/>
    </xf>
    <xf numFmtId="0" fontId="6" fillId="0" borderId="0" xfId="7" applyFont="1" applyFill="1" applyAlignment="1">
      <alignment horizontal="center"/>
    </xf>
    <xf numFmtId="2" fontId="19" fillId="0" borderId="0" xfId="7" applyNumberFormat="1" applyFont="1" applyFill="1" applyAlignment="1">
      <alignment horizontal="center"/>
    </xf>
    <xf numFmtId="2" fontId="6" fillId="0" borderId="0" xfId="7" applyNumberFormat="1" applyFill="1" applyAlignment="1">
      <alignment horizontal="center"/>
    </xf>
    <xf numFmtId="165" fontId="19" fillId="0" borderId="0" xfId="7" applyNumberFormat="1" applyFont="1" applyFill="1"/>
    <xf numFmtId="0" fontId="8" fillId="0" borderId="1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Continuous"/>
    </xf>
    <xf numFmtId="0" fontId="18" fillId="0" borderId="4" xfId="7" applyFont="1" applyFill="1" applyBorder="1" applyAlignment="1">
      <alignment horizontal="centerContinuous" wrapText="1"/>
    </xf>
    <xf numFmtId="0" fontId="18" fillId="0" borderId="5" xfId="7" applyFont="1" applyFill="1" applyBorder="1" applyAlignment="1">
      <alignment horizontal="centerContinuous" wrapText="1"/>
    </xf>
    <xf numFmtId="0" fontId="18" fillId="0" borderId="6" xfId="7" applyFont="1" applyFill="1" applyBorder="1" applyAlignment="1">
      <alignment horizontal="centerContinuous" wrapText="1"/>
    </xf>
    <xf numFmtId="0" fontId="6" fillId="0" borderId="0" xfId="10" applyFill="1"/>
    <xf numFmtId="2" fontId="6" fillId="0" borderId="0" xfId="10" applyNumberFormat="1" applyFill="1" applyAlignment="1">
      <alignment horizontal="center"/>
    </xf>
    <xf numFmtId="0" fontId="20" fillId="0" borderId="0" xfId="8"/>
    <xf numFmtId="2" fontId="19" fillId="0" borderId="0" xfId="10" applyNumberFormat="1" applyFont="1" applyFill="1" applyAlignment="1">
      <alignment horizontal="center"/>
    </xf>
    <xf numFmtId="165" fontId="6" fillId="0" borderId="0" xfId="10" applyNumberFormat="1" applyFill="1"/>
    <xf numFmtId="165" fontId="6" fillId="0" borderId="0" xfId="10" applyNumberFormat="1" applyFill="1" applyBorder="1"/>
    <xf numFmtId="0" fontId="6" fillId="0" borderId="0" xfId="10" applyFont="1" applyFill="1"/>
    <xf numFmtId="2" fontId="6" fillId="0" borderId="0" xfId="10" applyNumberFormat="1" applyFont="1" applyFill="1" applyAlignment="1">
      <alignment horizontal="center"/>
    </xf>
    <xf numFmtId="0" fontId="6" fillId="0" borderId="0" xfId="10" applyFont="1" applyFill="1" applyBorder="1"/>
    <xf numFmtId="165" fontId="6" fillId="0" borderId="0" xfId="10" applyNumberFormat="1" applyFont="1" applyFill="1" applyBorder="1"/>
    <xf numFmtId="165" fontId="0" fillId="0" borderId="10" xfId="0" applyNumberFormat="1" applyBorder="1"/>
    <xf numFmtId="165" fontId="6" fillId="0" borderId="5" xfId="7" applyNumberFormat="1" applyFill="1" applyBorder="1"/>
    <xf numFmtId="0" fontId="18" fillId="0" borderId="4" xfId="7" applyFont="1" applyFill="1" applyBorder="1" applyAlignment="1">
      <alignment horizontal="right"/>
    </xf>
    <xf numFmtId="10" fontId="0" fillId="0" borderId="0" xfId="9" applyNumberFormat="1" applyFont="1" applyFill="1"/>
    <xf numFmtId="0" fontId="18" fillId="0" borderId="5" xfId="7" quotePrefix="1" applyFont="1" applyFill="1" applyBorder="1" applyAlignment="1">
      <alignment horizontal="center"/>
    </xf>
    <xf numFmtId="0" fontId="0" fillId="0" borderId="6" xfId="0" applyBorder="1"/>
    <xf numFmtId="0" fontId="6" fillId="0" borderId="4" xfId="7" applyFill="1" applyBorder="1"/>
    <xf numFmtId="0" fontId="6" fillId="0" borderId="1" xfId="7" applyFill="1" applyBorder="1"/>
    <xf numFmtId="0" fontId="6" fillId="0" borderId="0" xfId="7" applyFill="1" applyBorder="1"/>
    <xf numFmtId="165" fontId="19" fillId="0" borderId="2" xfId="8" applyNumberFormat="1" applyFont="1" applyFill="1" applyBorder="1"/>
    <xf numFmtId="165" fontId="6" fillId="0" borderId="2" xfId="10" applyNumberFormat="1" applyFill="1" applyBorder="1"/>
    <xf numFmtId="0" fontId="6" fillId="0" borderId="2" xfId="10" applyFont="1" applyFill="1" applyBorder="1"/>
    <xf numFmtId="165" fontId="19" fillId="0" borderId="2" xfId="10" applyNumberFormat="1" applyFont="1" applyFill="1" applyBorder="1"/>
    <xf numFmtId="165" fontId="6" fillId="0" borderId="2" xfId="10" applyNumberFormat="1" applyFont="1" applyFill="1" applyBorder="1"/>
    <xf numFmtId="173" fontId="19" fillId="0" borderId="2" xfId="10" applyNumberFormat="1" applyFont="1" applyFill="1" applyBorder="1"/>
    <xf numFmtId="0" fontId="6" fillId="0" borderId="2" xfId="7" applyFill="1" applyBorder="1"/>
    <xf numFmtId="165" fontId="6" fillId="0" borderId="6" xfId="7" applyNumberFormat="1" applyFill="1" applyBorder="1"/>
    <xf numFmtId="165" fontId="0" fillId="0" borderId="1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0" fontId="18" fillId="0" borderId="9" xfId="7" quotePrefix="1" applyFont="1" applyFill="1" applyBorder="1" applyAlignment="1">
      <alignment horizontal="center"/>
    </xf>
    <xf numFmtId="165" fontId="0" fillId="0" borderId="2" xfId="0" applyNumberFormat="1" applyBorder="1"/>
    <xf numFmtId="165" fontId="0" fillId="0" borderId="11" xfId="0" applyNumberFormat="1" applyBorder="1"/>
    <xf numFmtId="0" fontId="18" fillId="0" borderId="3" xfId="7" applyFont="1" applyFill="1" applyBorder="1"/>
    <xf numFmtId="0" fontId="18" fillId="0" borderId="13" xfId="7" applyFont="1" applyFill="1" applyBorder="1"/>
    <xf numFmtId="0" fontId="6" fillId="0" borderId="13" xfId="7" applyFont="1" applyFill="1" applyBorder="1"/>
    <xf numFmtId="165" fontId="19" fillId="0" borderId="13" xfId="10" applyNumberFormat="1" applyFont="1" applyFill="1" applyBorder="1"/>
    <xf numFmtId="165" fontId="6" fillId="0" borderId="13" xfId="10" applyNumberFormat="1" applyFill="1" applyBorder="1"/>
    <xf numFmtId="173" fontId="19" fillId="0" borderId="13" xfId="10" applyNumberFormat="1" applyFont="1" applyFill="1" applyBorder="1"/>
    <xf numFmtId="0" fontId="6" fillId="0" borderId="13" xfId="10" applyFont="1" applyFill="1" applyBorder="1"/>
    <xf numFmtId="165" fontId="6" fillId="0" borderId="13" xfId="10" applyNumberFormat="1" applyFont="1" applyFill="1" applyBorder="1"/>
    <xf numFmtId="0" fontId="6" fillId="0" borderId="13" xfId="7" applyFill="1" applyBorder="1"/>
    <xf numFmtId="165" fontId="19" fillId="0" borderId="13" xfId="7" applyNumberFormat="1" applyFont="1" applyFill="1" applyBorder="1"/>
    <xf numFmtId="165" fontId="6" fillId="0" borderId="13" xfId="7" applyNumberFormat="1" applyFill="1" applyBorder="1"/>
    <xf numFmtId="173" fontId="19" fillId="0" borderId="13" xfId="7" applyNumberFormat="1" applyFont="1" applyFill="1" applyBorder="1"/>
    <xf numFmtId="0" fontId="20" fillId="0" borderId="0" xfId="8" applyFill="1" applyBorder="1"/>
    <xf numFmtId="0" fontId="20" fillId="0" borderId="0" xfId="8" applyFill="1"/>
    <xf numFmtId="0" fontId="20" fillId="0" borderId="2" xfId="8" applyFill="1" applyBorder="1"/>
    <xf numFmtId="9" fontId="0" fillId="0" borderId="0" xfId="9" applyFont="1"/>
    <xf numFmtId="177" fontId="0" fillId="0" borderId="3" xfId="9" applyNumberFormat="1" applyFont="1" applyBorder="1"/>
    <xf numFmtId="0" fontId="0" fillId="0" borderId="5" xfId="0" applyFill="1" applyBorder="1"/>
    <xf numFmtId="0" fontId="0" fillId="0" borderId="3" xfId="0" applyNumberFormat="1" applyFill="1" applyBorder="1" applyAlignment="1">
      <alignment horizontal="right"/>
    </xf>
    <xf numFmtId="165" fontId="19" fillId="0" borderId="0" xfId="8" applyNumberFormat="1" applyFont="1" applyFill="1" applyBorder="1"/>
    <xf numFmtId="165" fontId="6" fillId="0" borderId="0" xfId="8" applyNumberFormat="1" applyFont="1" applyFill="1" applyBorder="1"/>
    <xf numFmtId="165" fontId="6" fillId="0" borderId="0" xfId="10" applyNumberFormat="1" applyFont="1" applyFill="1" applyAlignment="1">
      <alignment horizontal="center"/>
    </xf>
    <xf numFmtId="165" fontId="6" fillId="0" borderId="2" xfId="8" applyNumberFormat="1" applyFont="1" applyFill="1" applyBorder="1"/>
    <xf numFmtId="173" fontId="19" fillId="0" borderId="0" xfId="10" applyNumberFormat="1" applyFont="1" applyFill="1" applyBorder="1"/>
    <xf numFmtId="165" fontId="6" fillId="0" borderId="1" xfId="7" applyNumberFormat="1" applyFill="1" applyBorder="1"/>
    <xf numFmtId="165" fontId="6" fillId="0" borderId="0" xfId="7" applyNumberFormat="1" applyFill="1" applyBorder="1"/>
    <xf numFmtId="165" fontId="0" fillId="0" borderId="2" xfId="0" applyNumberFormat="1" applyFill="1" applyBorder="1"/>
    <xf numFmtId="165" fontId="19" fillId="0" borderId="0" xfId="10" applyNumberFormat="1" applyFont="1" applyFill="1" applyBorder="1"/>
    <xf numFmtId="0" fontId="18" fillId="0" borderId="3" xfId="7" applyFont="1" applyFill="1" applyBorder="1" applyAlignment="1">
      <alignment horizontal="centerContinuous"/>
    </xf>
    <xf numFmtId="0" fontId="18" fillId="0" borderId="3" xfId="7" applyFont="1" applyFill="1" applyBorder="1" applyAlignment="1">
      <alignment horizontal="centerContinuous" wrapText="1"/>
    </xf>
    <xf numFmtId="0" fontId="6" fillId="0" borderId="3" xfId="7" applyFill="1" applyBorder="1"/>
    <xf numFmtId="165" fontId="19" fillId="0" borderId="13" xfId="8" applyNumberFormat="1" applyFont="1" applyFill="1" applyBorder="1"/>
    <xf numFmtId="176" fontId="19" fillId="0" borderId="13" xfId="5" applyNumberFormat="1" applyFont="1" applyFill="1" applyBorder="1"/>
    <xf numFmtId="0" fontId="20" fillId="0" borderId="13" xfId="8" applyFill="1" applyBorder="1"/>
    <xf numFmtId="0" fontId="6" fillId="0" borderId="13" xfId="10" applyFont="1" applyFill="1" applyBorder="1" applyAlignment="1">
      <alignment horizontal="center"/>
    </xf>
    <xf numFmtId="165" fontId="6" fillId="0" borderId="13" xfId="8" applyNumberFormat="1" applyFont="1" applyFill="1" applyBorder="1"/>
    <xf numFmtId="165" fontId="6" fillId="0" borderId="3" xfId="7" applyNumberFormat="1" applyFill="1" applyBorder="1"/>
    <xf numFmtId="1" fontId="4" fillId="4" borderId="0" xfId="2" applyNumberFormat="1" applyFont="1" applyFill="1" applyAlignment="1">
      <alignment horizontal="centerContinuous"/>
    </xf>
    <xf numFmtId="1" fontId="4" fillId="4" borderId="0" xfId="2" quotePrefix="1" applyNumberFormat="1" applyFont="1" applyFill="1" applyAlignment="1">
      <alignment horizontal="center"/>
    </xf>
    <xf numFmtId="41" fontId="4" fillId="4" borderId="0" xfId="2" applyFont="1" applyFill="1" applyAlignment="1">
      <alignment horizontal="center"/>
    </xf>
    <xf numFmtId="37" fontId="4" fillId="4" borderId="0" xfId="2" applyNumberFormat="1" applyFont="1" applyFill="1" applyProtection="1"/>
    <xf numFmtId="37" fontId="4" fillId="4" borderId="0" xfId="2" applyNumberFormat="1" applyFont="1" applyFill="1" applyAlignment="1" applyProtection="1">
      <alignment horizontal="center"/>
    </xf>
    <xf numFmtId="1" fontId="4" fillId="4" borderId="0" xfId="2" applyNumberFormat="1" applyFont="1" applyFill="1" applyAlignment="1">
      <alignment horizontal="center"/>
    </xf>
    <xf numFmtId="41" fontId="5" fillId="4" borderId="15" xfId="2" applyFont="1" applyFill="1" applyBorder="1"/>
    <xf numFmtId="41" fontId="4" fillId="4" borderId="15" xfId="2" applyFont="1" applyFill="1" applyBorder="1" applyAlignment="1">
      <alignment horizontal="center"/>
    </xf>
    <xf numFmtId="37" fontId="4" fillId="4" borderId="15" xfId="2" applyNumberFormat="1" applyFont="1" applyFill="1" applyBorder="1" applyAlignment="1" applyProtection="1">
      <alignment horizontal="center"/>
    </xf>
    <xf numFmtId="41" fontId="5" fillId="4" borderId="0" xfId="2" applyFont="1" applyFill="1"/>
    <xf numFmtId="164" fontId="4" fillId="4" borderId="0" xfId="3" applyNumberFormat="1" applyFont="1" applyFill="1" applyBorder="1"/>
    <xf numFmtId="1" fontId="5" fillId="4" borderId="0" xfId="2" applyNumberFormat="1" applyFont="1" applyFill="1" applyAlignment="1">
      <alignment horizontal="centerContinuous"/>
    </xf>
    <xf numFmtId="1" fontId="7" fillId="4" borderId="0" xfId="2" applyNumberFormat="1" applyFont="1" applyFill="1" applyBorder="1"/>
    <xf numFmtId="10" fontId="5" fillId="4" borderId="0" xfId="4" applyNumberFormat="1" applyFont="1" applyFill="1" applyAlignment="1">
      <alignment horizontal="right"/>
    </xf>
    <xf numFmtId="164" fontId="5" fillId="4" borderId="0" xfId="3" applyNumberFormat="1" applyFont="1" applyFill="1"/>
    <xf numFmtId="1" fontId="5" fillId="4" borderId="0" xfId="2" applyNumberFormat="1" applyFont="1" applyFill="1"/>
    <xf numFmtId="1" fontId="5" fillId="4" borderId="0" xfId="2" quotePrefix="1" applyNumberFormat="1" applyFont="1" applyFill="1" applyAlignment="1">
      <alignment horizontal="left"/>
    </xf>
    <xf numFmtId="9" fontId="5" fillId="4" borderId="0" xfId="4" applyFont="1" applyFill="1"/>
    <xf numFmtId="9" fontId="5" fillId="4" borderId="0" xfId="4" applyNumberFormat="1" applyFont="1" applyFill="1"/>
    <xf numFmtId="1" fontId="7" fillId="4" borderId="0" xfId="2" applyNumberFormat="1" applyFont="1" applyFill="1"/>
    <xf numFmtId="10" fontId="5" fillId="4" borderId="0" xfId="4" applyNumberFormat="1" applyFont="1" applyFill="1"/>
    <xf numFmtId="43" fontId="5" fillId="4" borderId="0" xfId="3" applyNumberFormat="1" applyFont="1" applyFill="1"/>
    <xf numFmtId="168" fontId="5" fillId="4" borderId="0" xfId="3" applyNumberFormat="1" applyFont="1" applyFill="1"/>
    <xf numFmtId="1" fontId="5" fillId="4" borderId="0" xfId="2" applyNumberFormat="1" applyFont="1" applyFill="1" applyBorder="1"/>
    <xf numFmtId="164" fontId="5" fillId="4" borderId="0" xfId="3" applyNumberFormat="1" applyFont="1" applyFill="1" applyBorder="1" applyAlignment="1">
      <alignment horizontal="center"/>
    </xf>
    <xf numFmtId="43" fontId="5" fillId="4" borderId="0" xfId="4" applyNumberFormat="1" applyFont="1" applyFill="1"/>
    <xf numFmtId="43" fontId="5" fillId="4" borderId="0" xfId="3" applyFont="1" applyFill="1"/>
    <xf numFmtId="43" fontId="5" fillId="4" borderId="0" xfId="3" applyFont="1" applyFill="1" applyBorder="1" applyAlignment="1">
      <alignment horizontal="center"/>
    </xf>
    <xf numFmtId="37" fontId="4" fillId="0" borderId="0" xfId="2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10" fillId="0" borderId="0" xfId="0" quotePrefix="1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0" fillId="0" borderId="2" xfId="0" applyFill="1" applyBorder="1"/>
    <xf numFmtId="165" fontId="6" fillId="0" borderId="0" xfId="7" applyNumberFormat="1" applyFill="1"/>
    <xf numFmtId="0" fontId="6" fillId="0" borderId="0" xfId="8" applyFont="1" applyFill="1" applyBorder="1" applyAlignment="1">
      <alignment horizontal="center"/>
    </xf>
    <xf numFmtId="0" fontId="6" fillId="0" borderId="0" xfId="8" applyFont="1" applyFill="1" applyAlignment="1">
      <alignment horizontal="center"/>
    </xf>
    <xf numFmtId="0" fontId="6" fillId="0" borderId="2" xfId="8" applyFont="1" applyFill="1" applyBorder="1" applyAlignment="1">
      <alignment horizontal="center"/>
    </xf>
    <xf numFmtId="176" fontId="19" fillId="0" borderId="0" xfId="5" applyNumberFormat="1" applyFont="1" applyFill="1" applyBorder="1"/>
    <xf numFmtId="176" fontId="19" fillId="0" borderId="0" xfId="5" applyNumberFormat="1" applyFont="1" applyFill="1"/>
    <xf numFmtId="176" fontId="19" fillId="0" borderId="2" xfId="5" applyNumberFormat="1" applyFont="1" applyFill="1" applyBorder="1"/>
    <xf numFmtId="165" fontId="19" fillId="0" borderId="0" xfId="10" applyNumberFormat="1" applyFont="1" applyFill="1"/>
    <xf numFmtId="0" fontId="0" fillId="0" borderId="13" xfId="0" applyFill="1" applyBorder="1"/>
    <xf numFmtId="0" fontId="0" fillId="0" borderId="14" xfId="0" applyFill="1" applyBorder="1"/>
    <xf numFmtId="165" fontId="0" fillId="0" borderId="5" xfId="0" applyNumberFormat="1" applyFill="1" applyBorder="1"/>
    <xf numFmtId="165" fontId="0" fillId="0" borderId="3" xfId="0" applyNumberFormat="1" applyFill="1" applyBorder="1"/>
    <xf numFmtId="165" fontId="0" fillId="0" borderId="6" xfId="0" applyNumberFormat="1" applyFill="1" applyBorder="1"/>
    <xf numFmtId="171" fontId="0" fillId="0" borderId="6" xfId="1" applyNumberFormat="1" applyFont="1" applyFill="1" applyBorder="1"/>
    <xf numFmtId="0" fontId="0" fillId="0" borderId="11" xfId="0" applyFill="1" applyBorder="1"/>
    <xf numFmtId="164" fontId="0" fillId="0" borderId="0" xfId="1" applyNumberFormat="1" applyFont="1" applyFill="1"/>
    <xf numFmtId="164" fontId="0" fillId="0" borderId="0" xfId="0" applyNumberFormat="1" applyFill="1"/>
    <xf numFmtId="175" fontId="0" fillId="0" borderId="0" xfId="0" applyNumberFormat="1" applyFill="1"/>
  </cellXfs>
  <cellStyles count="11">
    <cellStyle name="Comma" xfId="1" builtinId="3"/>
    <cellStyle name="Comma 2" xfId="3"/>
    <cellStyle name="Currency 2" xfId="5"/>
    <cellStyle name="Normal" xfId="0" builtinId="0"/>
    <cellStyle name="Normal 2" xfId="7"/>
    <cellStyle name="Normal 2 2" xfId="10"/>
    <cellStyle name="Normal 3" xfId="8"/>
    <cellStyle name="Normal 4" xfId="2"/>
    <cellStyle name="Normal 7" xfId="6"/>
    <cellStyle name="Percent" xfId="9" builtinId="5"/>
    <cellStyle name="Percent 2" xfId="4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BreakPreview" zoomScale="60" zoomScaleNormal="100" workbookViewId="0"/>
  </sheetViews>
  <sheetFormatPr defaultRowHeight="14.4"/>
  <cols>
    <col min="1" max="1" width="17.44140625" customWidth="1"/>
    <col min="2" max="2" width="10.5546875" customWidth="1"/>
    <col min="3" max="3" width="13" customWidth="1"/>
    <col min="4" max="9" width="15.88671875" customWidth="1"/>
    <col min="10" max="10" width="34.5546875" customWidth="1"/>
    <col min="11" max="13" width="15.88671875" customWidth="1"/>
  </cols>
  <sheetData>
    <row r="1" spans="1:13" ht="17.399999999999999">
      <c r="A1" s="136" t="s">
        <v>101</v>
      </c>
      <c r="B1" s="136"/>
      <c r="C1" s="136"/>
      <c r="D1" s="136"/>
      <c r="E1" s="136"/>
      <c r="F1" s="136"/>
      <c r="G1" s="136"/>
      <c r="H1" s="138"/>
      <c r="I1" s="138"/>
      <c r="J1" s="138"/>
      <c r="K1" s="138"/>
      <c r="L1" s="138"/>
      <c r="M1" s="138"/>
    </row>
    <row r="2" spans="1:13" ht="17.399999999999999">
      <c r="A2" s="159" t="s">
        <v>269</v>
      </c>
      <c r="B2" s="159"/>
      <c r="C2" s="159"/>
      <c r="D2" s="159"/>
      <c r="E2" s="159"/>
      <c r="F2" s="159"/>
      <c r="G2" s="159"/>
      <c r="H2" s="138"/>
      <c r="I2" s="138"/>
      <c r="J2" s="138"/>
      <c r="K2" s="138"/>
      <c r="L2" s="138"/>
      <c r="M2" s="138"/>
    </row>
    <row r="3" spans="1:13" ht="17.399999999999999">
      <c r="A3" s="137"/>
      <c r="B3" s="157"/>
      <c r="C3" s="158"/>
      <c r="D3" s="158"/>
      <c r="E3" s="158"/>
      <c r="F3" s="158"/>
      <c r="G3" s="158"/>
      <c r="H3" s="138"/>
      <c r="I3" s="138"/>
      <c r="J3" s="138"/>
      <c r="K3" s="138"/>
      <c r="L3" s="138"/>
      <c r="M3" s="139"/>
    </row>
    <row r="4" spans="1:13">
      <c r="A4" s="140" t="s">
        <v>249</v>
      </c>
      <c r="B4" s="142" t="s">
        <v>250</v>
      </c>
      <c r="C4" s="175"/>
      <c r="D4" s="143" t="s">
        <v>272</v>
      </c>
      <c r="E4" s="144"/>
      <c r="F4" s="144"/>
      <c r="G4" s="144"/>
      <c r="H4" s="145"/>
      <c r="I4" s="145"/>
      <c r="J4" s="143" t="s">
        <v>273</v>
      </c>
      <c r="K4" s="143" t="s">
        <v>271</v>
      </c>
      <c r="L4" s="145"/>
      <c r="M4" s="146"/>
    </row>
    <row r="5" spans="1:13" ht="53.4">
      <c r="A5" s="140"/>
      <c r="B5" s="142" t="s">
        <v>260</v>
      </c>
      <c r="C5" s="175"/>
      <c r="D5" s="160" t="s">
        <v>62</v>
      </c>
      <c r="E5" s="161" t="s">
        <v>63</v>
      </c>
      <c r="F5" s="161" t="s">
        <v>64</v>
      </c>
      <c r="G5" s="161" t="s">
        <v>65</v>
      </c>
      <c r="H5" s="161" t="s">
        <v>66</v>
      </c>
      <c r="I5" s="161" t="s">
        <v>67</v>
      </c>
      <c r="J5" s="160" t="s">
        <v>318</v>
      </c>
      <c r="K5" s="160" t="s">
        <v>295</v>
      </c>
      <c r="L5" s="161" t="s">
        <v>296</v>
      </c>
      <c r="M5" s="162" t="s">
        <v>297</v>
      </c>
    </row>
    <row r="6" spans="1:13">
      <c r="A6" s="147"/>
      <c r="B6" s="148"/>
      <c r="C6" s="147"/>
      <c r="D6" s="193"/>
      <c r="E6" s="149"/>
      <c r="F6" s="149"/>
      <c r="G6" s="149"/>
      <c r="H6" s="150"/>
      <c r="I6" s="150"/>
      <c r="J6" s="179"/>
      <c r="K6" s="179"/>
      <c r="L6" s="150"/>
      <c r="M6" s="178"/>
    </row>
    <row r="7" spans="1:13">
      <c r="A7" s="151"/>
      <c r="B7" s="151"/>
      <c r="C7" s="151"/>
      <c r="D7" s="180"/>
      <c r="E7" s="181"/>
      <c r="F7" s="181"/>
      <c r="G7" s="181"/>
      <c r="H7" s="181"/>
      <c r="I7" s="181"/>
      <c r="J7" s="180"/>
      <c r="K7" s="180"/>
      <c r="L7" s="181"/>
      <c r="M7" s="91"/>
    </row>
    <row r="8" spans="1:13">
      <c r="A8" t="s">
        <v>93</v>
      </c>
      <c r="C8" s="44"/>
      <c r="D8" s="220">
        <f>'Maintenance Assumptions pg 2'!F48+'Maintenance Assumptions pg 2'!F33-0.5*'Maintenance Assumptions pg 2'!$D$9</f>
        <v>969.93759599999976</v>
      </c>
      <c r="E8" s="221">
        <f>'Maintenance Assumptions pg 2'!G48+'Maintenance Assumptions pg 2'!G33-0.5*'Maintenance Assumptions pg 2'!$D$9</f>
        <v>1035.5999459999998</v>
      </c>
      <c r="F8" s="221">
        <f>'Maintenance Assumptions pg 2'!H48+'Maintenance Assumptions pg 2'!H33-0.5*'Maintenance Assumptions pg 2'!$D$9</f>
        <v>1040.0690459999998</v>
      </c>
      <c r="G8" s="221">
        <f>'Maintenance Assumptions pg 2'!I48+'Maintenance Assumptions pg 2'!I33-0.5*'Maintenance Assumptions pg 2'!$D$9</f>
        <v>1049.5375959999999</v>
      </c>
      <c r="H8" s="221">
        <f>'Maintenance Assumptions pg 2'!J48+'Maintenance Assumptions pg 2'!J33-0.5*'Maintenance Assumptions pg 2'!$D$9</f>
        <v>1107.5783459999998</v>
      </c>
      <c r="I8" s="221">
        <f>'Maintenance Assumptions pg 2'!K48+'Maintenance Assumptions pg 2'!K33-0.5*'Maintenance Assumptions pg 2'!$D$9</f>
        <v>1347.7875959999999</v>
      </c>
      <c r="J8" s="220">
        <f>'Maintenance Assumptions pg 2'!L48+'Maintenance Assumptions pg 2'!L19-0.5*'Maintenance Assumptions pg 2'!$D$9</f>
        <v>2960.6654240000003</v>
      </c>
      <c r="K8" s="220">
        <f>'Maintenance Assumptions pg 2'!M48+'Maintenance Assumptions pg 2'!M33-0.5*'Maintenance Assumptions pg 2'!$D$9</f>
        <v>846.29701111911459</v>
      </c>
      <c r="L8" s="221">
        <f>'Maintenance Assumptions pg 2'!N48+'Maintenance Assumptions pg 2'!N33-0.5*'Maintenance Assumptions pg 2'!$D$9</f>
        <v>941.51959600000009</v>
      </c>
      <c r="M8" s="222">
        <f>'Maintenance Assumptions pg 2'!O48+'Maintenance Assumptions pg 2'!O33-0.5*'Maintenance Assumptions pg 2'!$D$9</f>
        <v>1092.5195960000001</v>
      </c>
    </row>
    <row r="9" spans="1:13">
      <c r="C9" s="44"/>
      <c r="D9" s="92"/>
      <c r="E9" s="90"/>
      <c r="F9" s="90"/>
      <c r="G9" s="90"/>
      <c r="H9" s="90"/>
      <c r="I9" s="90"/>
      <c r="J9" s="92"/>
      <c r="K9" s="92"/>
      <c r="L9" s="90"/>
      <c r="M9" s="91"/>
    </row>
    <row r="10" spans="1:13">
      <c r="A10" t="s">
        <v>267</v>
      </c>
      <c r="B10" s="176">
        <f>0.0426+0.03+0.0095+0.0068</f>
        <v>8.8899999999999993E-2</v>
      </c>
      <c r="C10" s="176"/>
      <c r="D10" s="190">
        <f>D8*$B$10</f>
        <v>86.227452284399973</v>
      </c>
      <c r="E10" s="191">
        <f t="shared" ref="E10:H10" si="0">E8*$B$10</f>
        <v>92.06483519939998</v>
      </c>
      <c r="F10" s="191">
        <f t="shared" si="0"/>
        <v>92.46213818939998</v>
      </c>
      <c r="G10" s="191">
        <f t="shared" si="0"/>
        <v>93.303892284399979</v>
      </c>
      <c r="H10" s="191">
        <f t="shared" si="0"/>
        <v>98.463714959399979</v>
      </c>
      <c r="I10" s="191">
        <f>I8*$B$10</f>
        <v>119.81831728439998</v>
      </c>
      <c r="J10" s="190">
        <f t="shared" ref="J10" si="1">J8*$B$10</f>
        <v>263.20315619360002</v>
      </c>
      <c r="K10" s="190">
        <f t="shared" ref="K10:M10" si="2">K8*$B$10</f>
        <v>75.235804288489277</v>
      </c>
      <c r="L10" s="191">
        <f t="shared" si="2"/>
        <v>83.701092084400003</v>
      </c>
      <c r="M10" s="194">
        <f t="shared" si="2"/>
        <v>97.124992084400006</v>
      </c>
    </row>
    <row r="11" spans="1:13">
      <c r="C11" s="44"/>
      <c r="D11" s="92"/>
      <c r="E11" s="90"/>
      <c r="F11" s="90"/>
      <c r="G11" s="90"/>
      <c r="H11" s="90"/>
      <c r="I11" s="90"/>
      <c r="J11" s="92"/>
      <c r="K11" s="92"/>
      <c r="L11" s="90"/>
      <c r="M11" s="91"/>
    </row>
    <row r="12" spans="1:13">
      <c r="A12" t="s">
        <v>268</v>
      </c>
      <c r="D12" s="192">
        <f>D10/12</f>
        <v>7.1856210236999978</v>
      </c>
      <c r="E12" s="173">
        <f t="shared" ref="E12:H12" si="3">E10/12</f>
        <v>7.6720695999499986</v>
      </c>
      <c r="F12" s="173">
        <f t="shared" si="3"/>
        <v>7.7051781824499983</v>
      </c>
      <c r="G12" s="173">
        <f t="shared" si="3"/>
        <v>7.7753243570333312</v>
      </c>
      <c r="H12" s="173">
        <f t="shared" si="3"/>
        <v>8.2053095799499989</v>
      </c>
      <c r="I12" s="173">
        <f>I10/12</f>
        <v>9.9848597736999984</v>
      </c>
      <c r="J12" s="192">
        <f t="shared" ref="J12" si="4">J10/12</f>
        <v>21.933596349466669</v>
      </c>
      <c r="K12" s="192">
        <f t="shared" ref="K12:M12" si="5">K10/12</f>
        <v>6.2696503573741067</v>
      </c>
      <c r="L12" s="173">
        <f t="shared" si="5"/>
        <v>6.9750910070333338</v>
      </c>
      <c r="M12" s="195">
        <f t="shared" si="5"/>
        <v>8.0937493403666672</v>
      </c>
    </row>
  </sheetData>
  <pageMargins left="0.7" right="0.7" top="0.75" bottom="0.75" header="0.3" footer="0.3"/>
  <pageSetup scale="5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workbookViewId="0">
      <selection sqref="A1:I1"/>
    </sheetView>
  </sheetViews>
  <sheetFormatPr defaultRowHeight="14.4"/>
  <cols>
    <col min="1" max="1" width="29" customWidth="1"/>
    <col min="3" max="3" width="10.88671875" bestFit="1" customWidth="1"/>
    <col min="4" max="4" width="8" bestFit="1" customWidth="1"/>
    <col min="6" max="6" width="10.33203125" bestFit="1" customWidth="1"/>
  </cols>
  <sheetData>
    <row r="1" spans="1:9" ht="17.399999999999999">
      <c r="A1" s="262" t="s">
        <v>155</v>
      </c>
      <c r="B1" s="262"/>
      <c r="C1" s="262"/>
      <c r="D1" s="262"/>
      <c r="E1" s="262"/>
      <c r="F1" s="262"/>
      <c r="G1" s="262"/>
      <c r="H1" s="262"/>
      <c r="I1" s="262"/>
    </row>
    <row r="2" spans="1:9" ht="17.399999999999999">
      <c r="A2" s="262" t="s">
        <v>156</v>
      </c>
      <c r="B2" s="262"/>
      <c r="C2" s="262"/>
      <c r="D2" s="262"/>
      <c r="E2" s="262"/>
      <c r="F2" s="262"/>
      <c r="G2" s="262"/>
      <c r="H2" s="262"/>
      <c r="I2" s="262"/>
    </row>
    <row r="3" spans="1:9">
      <c r="A3" s="263" t="s">
        <v>157</v>
      </c>
      <c r="B3" s="263"/>
      <c r="C3" s="263"/>
      <c r="D3" s="263"/>
      <c r="E3" s="263"/>
      <c r="F3" s="263"/>
      <c r="G3" s="263"/>
      <c r="H3" s="263"/>
      <c r="I3" s="263"/>
    </row>
    <row r="4" spans="1:9">
      <c r="A4" s="264" t="s">
        <v>158</v>
      </c>
      <c r="B4" s="264"/>
      <c r="C4" s="264"/>
      <c r="D4" s="264"/>
      <c r="E4" s="264"/>
      <c r="F4" s="264"/>
      <c r="G4" s="264"/>
      <c r="H4" s="264"/>
      <c r="I4" s="264"/>
    </row>
    <row r="5" spans="1:9">
      <c r="A5" s="41"/>
      <c r="B5" s="41"/>
      <c r="C5" s="42" t="s">
        <v>9</v>
      </c>
      <c r="D5" s="265" t="s">
        <v>74</v>
      </c>
      <c r="E5" s="266"/>
      <c r="F5" s="267"/>
      <c r="G5" s="40"/>
      <c r="H5" s="39"/>
      <c r="I5" s="39"/>
    </row>
    <row r="6" spans="1:9">
      <c r="A6" s="41"/>
      <c r="B6" s="41"/>
      <c r="C6" s="46" t="s">
        <v>159</v>
      </c>
      <c r="D6" s="47" t="s">
        <v>11</v>
      </c>
      <c r="E6" s="48"/>
      <c r="F6" s="45" t="s">
        <v>160</v>
      </c>
      <c r="G6" s="40"/>
      <c r="H6" s="39"/>
      <c r="I6" s="39"/>
    </row>
    <row r="7" spans="1:9" ht="15.6">
      <c r="A7" s="49" t="s">
        <v>161</v>
      </c>
      <c r="B7" s="44"/>
      <c r="C7" s="44"/>
      <c r="D7" s="44"/>
      <c r="E7" s="44"/>
      <c r="F7" s="50"/>
      <c r="G7" s="40"/>
      <c r="H7" s="39"/>
      <c r="I7" s="39"/>
    </row>
    <row r="8" spans="1:9">
      <c r="A8" s="44" t="s">
        <v>162</v>
      </c>
      <c r="B8" s="44"/>
      <c r="C8" s="44"/>
      <c r="D8" s="44"/>
      <c r="E8" s="44"/>
      <c r="F8" s="50"/>
      <c r="G8" s="43"/>
      <c r="H8" s="45"/>
      <c r="I8" s="45"/>
    </row>
    <row r="9" spans="1:9">
      <c r="A9" s="44"/>
      <c r="B9" s="44"/>
      <c r="C9" s="44"/>
      <c r="D9" s="44"/>
      <c r="E9" s="44"/>
      <c r="F9" s="50"/>
    </row>
    <row r="10" spans="1:9">
      <c r="A10" s="44" t="s">
        <v>163</v>
      </c>
      <c r="B10" s="44"/>
      <c r="C10" s="44"/>
      <c r="D10" s="44"/>
      <c r="E10" s="44"/>
      <c r="F10" s="50"/>
    </row>
    <row r="11" spans="1:9" ht="15.6">
      <c r="A11" s="44" t="s">
        <v>164</v>
      </c>
      <c r="B11" s="44"/>
      <c r="C11" s="51">
        <v>24389.764908324298</v>
      </c>
      <c r="D11" s="52">
        <v>11.24</v>
      </c>
      <c r="E11" s="44"/>
      <c r="F11" s="53">
        <v>274140.95756956516</v>
      </c>
    </row>
    <row r="12" spans="1:9" ht="15.6">
      <c r="A12" s="44" t="s">
        <v>165</v>
      </c>
      <c r="B12" s="44"/>
      <c r="C12" s="51">
        <v>3825.5359662951851</v>
      </c>
      <c r="D12" s="52">
        <v>21.369999999999997</v>
      </c>
      <c r="E12" s="44"/>
      <c r="F12" s="53">
        <v>81751.703599728091</v>
      </c>
    </row>
    <row r="13" spans="1:9" ht="15.6">
      <c r="A13" s="44" t="s">
        <v>166</v>
      </c>
      <c r="B13" s="44"/>
      <c r="C13" s="51">
        <v>441.7670756274303</v>
      </c>
      <c r="D13" s="52">
        <v>44.25</v>
      </c>
      <c r="E13" s="44"/>
      <c r="F13" s="53">
        <v>19548.193096513791</v>
      </c>
    </row>
    <row r="14" spans="1:9" ht="15.6">
      <c r="A14" s="44" t="s">
        <v>167</v>
      </c>
      <c r="B14" s="44"/>
      <c r="C14" s="51"/>
      <c r="D14" s="54"/>
      <c r="E14" s="44"/>
      <c r="F14" s="53"/>
    </row>
    <row r="15" spans="1:9" ht="15.6">
      <c r="A15" s="44" t="s">
        <v>168</v>
      </c>
      <c r="B15" s="44"/>
      <c r="C15" s="51">
        <v>2265.2442142643458</v>
      </c>
      <c r="D15" s="52">
        <v>12.77</v>
      </c>
      <c r="E15" s="44"/>
      <c r="F15" s="53">
        <v>28927.168616155694</v>
      </c>
    </row>
    <row r="16" spans="1:9" ht="15.6">
      <c r="A16" s="44" t="s">
        <v>169</v>
      </c>
      <c r="B16" s="44"/>
      <c r="C16" s="51">
        <v>1884.3635628551399</v>
      </c>
      <c r="D16" s="52">
        <v>18.759999999999998</v>
      </c>
      <c r="E16" s="44"/>
      <c r="F16" s="53">
        <v>35350.660439162421</v>
      </c>
    </row>
    <row r="17" spans="1:6" ht="15.6">
      <c r="A17" s="44" t="s">
        <v>170</v>
      </c>
      <c r="B17" s="44"/>
      <c r="C17" s="51">
        <v>570.8003236486785</v>
      </c>
      <c r="D17" s="52">
        <v>30.28</v>
      </c>
      <c r="E17" s="44"/>
      <c r="F17" s="53">
        <v>17283.833800081986</v>
      </c>
    </row>
    <row r="18" spans="1:6" ht="15.6">
      <c r="A18" s="44" t="s">
        <v>171</v>
      </c>
      <c r="B18" s="44"/>
      <c r="C18" s="51">
        <v>497.13191990339959</v>
      </c>
      <c r="D18" s="52">
        <v>1</v>
      </c>
      <c r="E18" s="55"/>
      <c r="F18" s="53">
        <v>497.13191990339959</v>
      </c>
    </row>
    <row r="19" spans="1:6" ht="15.6">
      <c r="A19" s="44" t="s">
        <v>173</v>
      </c>
      <c r="B19" s="44"/>
      <c r="C19" s="51">
        <v>27886</v>
      </c>
      <c r="D19" s="52"/>
      <c r="E19" s="44"/>
      <c r="F19" s="53"/>
    </row>
    <row r="20" spans="1:6" ht="15.6">
      <c r="A20" s="44" t="s">
        <v>174</v>
      </c>
      <c r="B20" s="44"/>
      <c r="C20" s="51">
        <v>3029770.5</v>
      </c>
      <c r="D20" s="56"/>
      <c r="E20" s="55"/>
      <c r="F20" s="53">
        <v>457499.64904111053</v>
      </c>
    </row>
    <row r="21" spans="1:6" ht="15.6">
      <c r="A21" s="44" t="s">
        <v>175</v>
      </c>
      <c r="B21" s="44"/>
      <c r="C21" s="51">
        <v>7938.0715346155903</v>
      </c>
      <c r="D21" s="56"/>
      <c r="E21" s="55"/>
      <c r="F21" s="57">
        <v>4499.389131694641</v>
      </c>
    </row>
    <row r="22" spans="1:6" ht="16.2" thickBot="1">
      <c r="A22" s="44" t="s">
        <v>176</v>
      </c>
      <c r="B22" s="44"/>
      <c r="C22" s="58">
        <v>3037708.5715346155</v>
      </c>
      <c r="D22" s="59"/>
      <c r="E22" s="60"/>
      <c r="F22" s="60">
        <v>461999.03817280516</v>
      </c>
    </row>
    <row r="23" spans="1:6" ht="15" thickTop="1"/>
    <row r="25" spans="1:6" ht="15.6">
      <c r="A25" s="61" t="s">
        <v>177</v>
      </c>
      <c r="B25" s="62"/>
      <c r="C25" s="62"/>
      <c r="D25" s="62"/>
      <c r="E25" s="62"/>
      <c r="F25" s="53"/>
    </row>
    <row r="26" spans="1:6" ht="15.6">
      <c r="A26" s="62" t="s">
        <v>178</v>
      </c>
      <c r="B26" s="62"/>
      <c r="C26" s="62"/>
      <c r="D26" s="62"/>
      <c r="E26" s="62"/>
      <c r="F26" s="53"/>
    </row>
    <row r="27" spans="1:6" ht="15.6">
      <c r="A27" s="62" t="s">
        <v>179</v>
      </c>
      <c r="B27" s="62"/>
      <c r="C27" s="62"/>
      <c r="D27" s="62"/>
      <c r="E27" s="62"/>
      <c r="F27" s="53"/>
    </row>
    <row r="28" spans="1:6" ht="15.6">
      <c r="A28" s="62" t="s">
        <v>180</v>
      </c>
      <c r="B28" s="62"/>
      <c r="C28" s="62"/>
      <c r="D28" s="62"/>
      <c r="E28" s="62"/>
      <c r="F28" s="53"/>
    </row>
    <row r="29" spans="1:6" ht="15.6">
      <c r="A29" s="44" t="s">
        <v>168</v>
      </c>
      <c r="B29" s="44"/>
      <c r="C29" s="51">
        <v>11400.039491543301</v>
      </c>
      <c r="D29" s="52">
        <v>8.93</v>
      </c>
      <c r="E29" s="44"/>
      <c r="F29" s="53">
        <v>101802</v>
      </c>
    </row>
    <row r="30" spans="1:6" ht="15.6">
      <c r="A30" s="44" t="s">
        <v>181</v>
      </c>
      <c r="B30" s="44"/>
      <c r="C30" s="51">
        <v>17310.1784326038</v>
      </c>
      <c r="D30" s="52">
        <v>10.72</v>
      </c>
      <c r="E30" s="44"/>
      <c r="F30" s="53">
        <v>185565</v>
      </c>
    </row>
    <row r="31" spans="1:6" ht="15.6">
      <c r="A31" s="44" t="s">
        <v>182</v>
      </c>
      <c r="B31" s="44"/>
      <c r="C31" s="51">
        <v>0</v>
      </c>
      <c r="D31" s="52">
        <v>34.03</v>
      </c>
      <c r="E31" s="44"/>
      <c r="F31" s="53">
        <v>0</v>
      </c>
    </row>
    <row r="32" spans="1:6" ht="15.6">
      <c r="A32" s="44" t="s">
        <v>183</v>
      </c>
      <c r="B32" s="44"/>
      <c r="C32" s="51">
        <v>0</v>
      </c>
      <c r="D32" s="63">
        <v>26.46</v>
      </c>
      <c r="E32" s="44"/>
      <c r="F32" s="53">
        <v>0</v>
      </c>
    </row>
    <row r="33" spans="1:6" ht="15.6">
      <c r="A33" s="44" t="s">
        <v>184</v>
      </c>
      <c r="B33" s="44"/>
      <c r="C33" s="51">
        <v>1065.5868126631899</v>
      </c>
      <c r="D33" s="63">
        <v>13.69</v>
      </c>
      <c r="E33" s="44"/>
      <c r="F33" s="53">
        <v>14588</v>
      </c>
    </row>
    <row r="34" spans="1:6" ht="15.6">
      <c r="A34" s="44" t="s">
        <v>185</v>
      </c>
      <c r="B34" s="44"/>
      <c r="C34" s="51">
        <v>47.999893788498298</v>
      </c>
      <c r="D34" s="63">
        <v>35.25</v>
      </c>
      <c r="E34" s="44"/>
      <c r="F34" s="53">
        <v>1692</v>
      </c>
    </row>
    <row r="35" spans="1:6" ht="15.6">
      <c r="A35" s="44" t="s">
        <v>186</v>
      </c>
      <c r="B35" s="44"/>
      <c r="C35" s="51">
        <v>0</v>
      </c>
      <c r="D35" s="63">
        <v>27.72</v>
      </c>
      <c r="E35" s="44"/>
      <c r="F35" s="53">
        <v>0</v>
      </c>
    </row>
    <row r="36" spans="1:6" ht="15.6">
      <c r="A36" s="44" t="s">
        <v>169</v>
      </c>
      <c r="B36" s="44"/>
      <c r="C36" s="51">
        <v>16337.519049537101</v>
      </c>
      <c r="D36" s="63">
        <v>15.63</v>
      </c>
      <c r="E36" s="44"/>
      <c r="F36" s="53">
        <v>255355</v>
      </c>
    </row>
    <row r="37" spans="1:6" ht="15.6">
      <c r="A37" s="44" t="s">
        <v>187</v>
      </c>
      <c r="B37" s="44"/>
      <c r="C37" s="51">
        <v>1995.29440937456</v>
      </c>
      <c r="D37" s="63">
        <v>19.8</v>
      </c>
      <c r="E37" s="44"/>
      <c r="F37" s="53">
        <v>39507</v>
      </c>
    </row>
    <row r="38" spans="1:6" ht="15.6">
      <c r="A38" s="44" t="s">
        <v>170</v>
      </c>
      <c r="B38" s="44"/>
      <c r="C38" s="51">
        <v>2706.90940145997</v>
      </c>
      <c r="D38" s="63">
        <v>26.16</v>
      </c>
      <c r="E38" s="44"/>
      <c r="F38" s="53">
        <v>70813</v>
      </c>
    </row>
    <row r="39" spans="1:6" ht="15.6">
      <c r="A39" s="64" t="s">
        <v>188</v>
      </c>
      <c r="B39" s="44"/>
      <c r="C39" s="51"/>
      <c r="D39" s="52"/>
      <c r="E39" s="44"/>
      <c r="F39" s="53"/>
    </row>
    <row r="40" spans="1:6" ht="15.6">
      <c r="A40" s="65" t="s">
        <v>189</v>
      </c>
      <c r="B40" s="44"/>
      <c r="C40" s="51">
        <v>42.160200250312897</v>
      </c>
      <c r="D40" s="63">
        <v>7.95</v>
      </c>
      <c r="E40" s="44"/>
      <c r="F40" s="53">
        <v>335</v>
      </c>
    </row>
    <row r="41" spans="1:6" ht="15.6">
      <c r="A41" s="65" t="s">
        <v>190</v>
      </c>
      <c r="B41" s="44"/>
      <c r="C41" s="51">
        <v>1940.5866589300399</v>
      </c>
      <c r="D41" s="63">
        <v>9.86</v>
      </c>
      <c r="E41" s="44"/>
      <c r="F41" s="53">
        <v>19134</v>
      </c>
    </row>
    <row r="42" spans="1:6" ht="15.6">
      <c r="A42" s="65" t="s">
        <v>191</v>
      </c>
      <c r="B42" s="44"/>
      <c r="C42" s="51">
        <v>386.34804089456901</v>
      </c>
      <c r="D42" s="63">
        <v>12.43</v>
      </c>
      <c r="E42" s="44"/>
      <c r="F42" s="53">
        <v>4802</v>
      </c>
    </row>
    <row r="43" spans="1:6" ht="15.6">
      <c r="A43" s="65" t="s">
        <v>192</v>
      </c>
      <c r="B43" s="44"/>
      <c r="C43" s="51">
        <v>30.6747747747748</v>
      </c>
      <c r="D43" s="63">
        <v>12.87</v>
      </c>
      <c r="E43" s="44"/>
      <c r="F43" s="53">
        <v>395</v>
      </c>
    </row>
    <row r="44" spans="1:6" ht="15.6">
      <c r="A44" s="65" t="s">
        <v>193</v>
      </c>
      <c r="B44" s="44"/>
      <c r="C44" s="51">
        <v>1920.3574460887401</v>
      </c>
      <c r="D44" s="63">
        <v>20.67</v>
      </c>
      <c r="E44" s="44"/>
      <c r="F44" s="53">
        <v>39694</v>
      </c>
    </row>
    <row r="45" spans="1:6" ht="15.6">
      <c r="A45" s="65" t="s">
        <v>194</v>
      </c>
      <c r="B45" s="44"/>
      <c r="C45" s="51">
        <v>710.850771902367</v>
      </c>
      <c r="D45" s="63">
        <v>26.09</v>
      </c>
      <c r="E45" s="44"/>
      <c r="F45" s="53">
        <v>18546</v>
      </c>
    </row>
    <row r="46" spans="1:6" ht="15.6">
      <c r="A46" s="64" t="s">
        <v>195</v>
      </c>
      <c r="B46" s="44"/>
      <c r="C46" s="51"/>
      <c r="D46" s="52"/>
      <c r="E46" s="44"/>
      <c r="F46" s="53"/>
    </row>
    <row r="47" spans="1:6" ht="15.6">
      <c r="A47" s="65" t="s">
        <v>189</v>
      </c>
      <c r="B47" s="44"/>
      <c r="C47" s="51">
        <v>2511.7599388379199</v>
      </c>
      <c r="D47" s="63">
        <v>6.5</v>
      </c>
      <c r="E47" s="44"/>
      <c r="F47" s="53">
        <v>16326</v>
      </c>
    </row>
    <row r="48" spans="1:6" ht="15.6">
      <c r="A48" s="65" t="s">
        <v>190</v>
      </c>
      <c r="B48" s="44"/>
      <c r="C48" s="51">
        <v>1224.931672702</v>
      </c>
      <c r="D48" s="63">
        <v>6.97</v>
      </c>
      <c r="E48" s="44"/>
      <c r="F48" s="53">
        <v>8538</v>
      </c>
    </row>
    <row r="49" spans="1:6" ht="15.6">
      <c r="A49" s="65" t="s">
        <v>191</v>
      </c>
      <c r="B49" s="44"/>
      <c r="C49" s="51">
        <v>21.048507462686601</v>
      </c>
      <c r="D49" s="63">
        <v>7.97</v>
      </c>
      <c r="E49" s="44"/>
      <c r="F49" s="53">
        <v>168</v>
      </c>
    </row>
    <row r="50" spans="1:6" ht="15.6">
      <c r="A50" s="65" t="s">
        <v>192</v>
      </c>
      <c r="B50" s="44"/>
      <c r="C50" s="51">
        <v>1847.76591955096</v>
      </c>
      <c r="D50" s="63">
        <v>8.1300000000000008</v>
      </c>
      <c r="E50" s="44"/>
      <c r="F50" s="53">
        <v>15022</v>
      </c>
    </row>
    <row r="51" spans="1:6" ht="15.6">
      <c r="A51" s="65" t="s">
        <v>193</v>
      </c>
      <c r="B51" s="44"/>
      <c r="C51" s="51">
        <v>164.16525779691301</v>
      </c>
      <c r="D51" s="63">
        <v>10.56</v>
      </c>
      <c r="E51" s="44"/>
      <c r="F51" s="53">
        <v>1734</v>
      </c>
    </row>
    <row r="52" spans="1:6" ht="15.6">
      <c r="A52" s="65" t="s">
        <v>194</v>
      </c>
      <c r="B52" s="44"/>
      <c r="C52" s="51">
        <v>648.34196374959504</v>
      </c>
      <c r="D52" s="63">
        <v>12.09</v>
      </c>
      <c r="E52" s="44"/>
      <c r="F52" s="53">
        <v>7838</v>
      </c>
    </row>
    <row r="53" spans="1:6" ht="15.6">
      <c r="A53" s="44" t="s">
        <v>196</v>
      </c>
      <c r="B53" s="44"/>
      <c r="C53" s="51"/>
      <c r="D53" s="52"/>
      <c r="E53" s="44"/>
      <c r="F53" s="53"/>
    </row>
    <row r="54" spans="1:6" ht="15.6">
      <c r="A54" s="44" t="s">
        <v>197</v>
      </c>
      <c r="B54" s="44"/>
      <c r="C54" s="51">
        <v>0</v>
      </c>
      <c r="D54" s="63">
        <v>32.630000000000003</v>
      </c>
      <c r="E54" s="44"/>
      <c r="F54" s="53">
        <v>0</v>
      </c>
    </row>
    <row r="55" spans="1:6" ht="15.6">
      <c r="A55" s="44" t="s">
        <v>198</v>
      </c>
      <c r="B55" s="44"/>
      <c r="C55" s="51">
        <v>0</v>
      </c>
      <c r="D55" s="63">
        <v>27.22</v>
      </c>
      <c r="E55" s="44"/>
      <c r="F55" s="53">
        <v>0</v>
      </c>
    </row>
    <row r="56" spans="1:6" ht="15.6">
      <c r="A56" s="44" t="s">
        <v>199</v>
      </c>
      <c r="B56" s="44"/>
      <c r="C56" s="51">
        <v>0</v>
      </c>
      <c r="D56" s="63">
        <v>25.09</v>
      </c>
      <c r="E56" s="44"/>
      <c r="F56" s="53">
        <v>0</v>
      </c>
    </row>
    <row r="57" spans="1:6" ht="15.6">
      <c r="A57" s="44" t="s">
        <v>200</v>
      </c>
      <c r="B57" s="44"/>
      <c r="C57" s="51">
        <v>0</v>
      </c>
      <c r="D57" s="63">
        <v>36.67</v>
      </c>
      <c r="E57" s="44"/>
      <c r="F57" s="53">
        <v>0</v>
      </c>
    </row>
    <row r="58" spans="1:6" ht="15.6">
      <c r="A58" s="44" t="s">
        <v>201</v>
      </c>
      <c r="B58" s="44"/>
      <c r="C58" s="51">
        <v>0</v>
      </c>
      <c r="D58" s="63">
        <v>29.52</v>
      </c>
      <c r="E58" s="44"/>
      <c r="F58" s="53">
        <v>0</v>
      </c>
    </row>
    <row r="59" spans="1:6" ht="15.6">
      <c r="A59" s="44" t="s">
        <v>202</v>
      </c>
      <c r="B59" s="44"/>
      <c r="C59" s="51">
        <v>0</v>
      </c>
      <c r="D59" s="63">
        <v>29.01</v>
      </c>
      <c r="E59" s="44"/>
      <c r="F59" s="53">
        <v>0</v>
      </c>
    </row>
    <row r="60" spans="1:6" ht="15.6">
      <c r="A60" s="44" t="s">
        <v>203</v>
      </c>
      <c r="B60" s="44"/>
      <c r="C60" s="51">
        <v>0</v>
      </c>
      <c r="D60" s="63">
        <v>31.59</v>
      </c>
      <c r="E60" s="44"/>
      <c r="F60" s="53">
        <v>0</v>
      </c>
    </row>
    <row r="61" spans="1:6" ht="15.6">
      <c r="A61" s="44" t="s">
        <v>173</v>
      </c>
      <c r="B61" s="44"/>
      <c r="C61" s="51">
        <v>2928</v>
      </c>
      <c r="D61" s="52"/>
      <c r="E61" s="44"/>
      <c r="F61" s="53"/>
    </row>
    <row r="62" spans="1:6" ht="15.6">
      <c r="A62" s="44" t="s">
        <v>204</v>
      </c>
      <c r="B62" s="44"/>
      <c r="C62" s="51">
        <v>3621950.3857190385</v>
      </c>
      <c r="D62" s="56"/>
      <c r="E62" s="55"/>
      <c r="F62" s="57">
        <v>801854</v>
      </c>
    </row>
    <row r="63" spans="1:6" ht="15.6">
      <c r="A63" s="44" t="s">
        <v>175</v>
      </c>
      <c r="B63" s="44"/>
      <c r="C63" s="51">
        <v>97338.732190921903</v>
      </c>
      <c r="D63" s="56"/>
      <c r="E63" s="55"/>
      <c r="F63" s="57">
        <v>12385.749110823419</v>
      </c>
    </row>
    <row r="64" spans="1:6" ht="16.2" thickBot="1">
      <c r="A64" s="44" t="s">
        <v>176</v>
      </c>
      <c r="B64" s="44"/>
      <c r="C64" s="58">
        <v>3719289.1179099604</v>
      </c>
      <c r="D64" s="59"/>
      <c r="E64" s="59"/>
      <c r="F64" s="60">
        <v>814239.74911082338</v>
      </c>
    </row>
    <row r="65" spans="1:6" ht="15" thickTop="1"/>
    <row r="67" spans="1:6" ht="15.6">
      <c r="A67" s="61" t="s">
        <v>205</v>
      </c>
      <c r="B67" s="62"/>
      <c r="C67" s="62"/>
      <c r="D67" s="62"/>
      <c r="E67" s="62"/>
      <c r="F67" s="62"/>
    </row>
    <row r="68" spans="1:6" ht="15.6">
      <c r="A68" s="62" t="s">
        <v>206</v>
      </c>
      <c r="B68" s="62"/>
      <c r="C68" s="62"/>
      <c r="D68" s="62"/>
      <c r="E68" s="62"/>
      <c r="F68" s="62"/>
    </row>
    <row r="69" spans="1:6" ht="15.6">
      <c r="A69" s="62"/>
      <c r="B69" s="62"/>
      <c r="C69" s="62"/>
      <c r="D69" s="62"/>
      <c r="E69" s="62"/>
      <c r="F69" s="62"/>
    </row>
    <row r="70" spans="1:6" ht="15.6">
      <c r="A70" s="62" t="s">
        <v>207</v>
      </c>
      <c r="B70" s="62"/>
      <c r="C70" s="66"/>
      <c r="D70" s="67"/>
      <c r="E70" s="62"/>
      <c r="F70" s="53">
        <v>18087.063065675098</v>
      </c>
    </row>
    <row r="71" spans="1:6" ht="15.6">
      <c r="A71" s="62" t="s">
        <v>208</v>
      </c>
      <c r="B71" s="62"/>
      <c r="C71" s="51">
        <v>140860.105288452</v>
      </c>
      <c r="D71" s="68">
        <v>8.7520000000000007</v>
      </c>
      <c r="E71" s="62" t="s">
        <v>172</v>
      </c>
      <c r="F71" s="69">
        <v>12328</v>
      </c>
    </row>
    <row r="72" spans="1:6" ht="15.6">
      <c r="A72" s="62" t="s">
        <v>209</v>
      </c>
      <c r="B72" s="62"/>
      <c r="C72" s="51">
        <v>0</v>
      </c>
      <c r="D72" s="68">
        <v>9.7940000000000005</v>
      </c>
      <c r="E72" s="62" t="s">
        <v>172</v>
      </c>
      <c r="F72" s="69">
        <v>0</v>
      </c>
    </row>
    <row r="73" spans="1:6" ht="15.6">
      <c r="A73" s="62" t="s">
        <v>210</v>
      </c>
      <c r="B73" s="62"/>
      <c r="C73" s="51">
        <v>14</v>
      </c>
      <c r="D73" s="70"/>
      <c r="E73" s="62"/>
      <c r="F73" s="53"/>
    </row>
    <row r="74" spans="1:6" ht="15.6">
      <c r="A74" s="44" t="s">
        <v>211</v>
      </c>
      <c r="B74" s="44"/>
      <c r="C74" s="51">
        <v>140860.105288452</v>
      </c>
      <c r="D74" s="56"/>
      <c r="E74" s="55"/>
      <c r="F74" s="57">
        <v>30415.063065675098</v>
      </c>
    </row>
    <row r="75" spans="1:6" ht="15.6">
      <c r="A75" s="44" t="s">
        <v>212</v>
      </c>
      <c r="B75" s="44"/>
      <c r="C75" s="51">
        <v>3830.0355841127775</v>
      </c>
      <c r="D75" s="56"/>
      <c r="E75" s="55"/>
      <c r="F75" s="57">
        <v>476.33906498997436</v>
      </c>
    </row>
    <row r="76" spans="1:6" ht="16.2" thickBot="1">
      <c r="A76" s="62" t="s">
        <v>176</v>
      </c>
      <c r="B76" s="62"/>
      <c r="C76" s="71">
        <v>144690.14087256478</v>
      </c>
      <c r="D76" s="72"/>
      <c r="E76" s="73"/>
      <c r="F76" s="60">
        <v>30891.402130665072</v>
      </c>
    </row>
    <row r="77" spans="1:6" ht="15" thickTop="1"/>
    <row r="79" spans="1:6" ht="15.6">
      <c r="A79" s="61" t="s">
        <v>213</v>
      </c>
      <c r="B79" s="62"/>
      <c r="C79" s="62"/>
      <c r="D79" s="62"/>
      <c r="E79" s="62"/>
      <c r="F79" s="62"/>
    </row>
    <row r="80" spans="1:6" ht="15.6">
      <c r="A80" s="62" t="s">
        <v>214</v>
      </c>
      <c r="B80" s="62"/>
      <c r="C80" s="62"/>
      <c r="D80" s="62"/>
      <c r="E80" s="62"/>
      <c r="F80" s="62"/>
    </row>
    <row r="81" spans="1:6" ht="15.6">
      <c r="A81" s="62"/>
      <c r="B81" s="62"/>
      <c r="C81" s="62"/>
      <c r="D81" s="74"/>
      <c r="E81" s="62"/>
      <c r="F81" s="62"/>
    </row>
    <row r="82" spans="1:6" ht="15.6">
      <c r="A82" s="62" t="s">
        <v>207</v>
      </c>
      <c r="B82" s="62"/>
      <c r="C82" s="66"/>
      <c r="D82" s="67"/>
      <c r="E82" s="62"/>
      <c r="F82" s="53">
        <v>1693.7661131961399</v>
      </c>
    </row>
    <row r="83" spans="1:6" ht="15.6">
      <c r="A83" s="62" t="s">
        <v>215</v>
      </c>
      <c r="B83" s="62"/>
      <c r="C83" s="51">
        <v>1847418.9175815417</v>
      </c>
      <c r="D83" s="68" t="s">
        <v>216</v>
      </c>
      <c r="E83" s="62" t="s">
        <v>216</v>
      </c>
      <c r="F83" s="69">
        <v>133291</v>
      </c>
    </row>
    <row r="84" spans="1:6" ht="15.6">
      <c r="A84" s="62" t="s">
        <v>217</v>
      </c>
      <c r="B84" s="62"/>
      <c r="C84" s="51">
        <v>1848477.8177724311</v>
      </c>
      <c r="D84" s="75" t="s">
        <v>216</v>
      </c>
      <c r="E84" s="62" t="s">
        <v>216</v>
      </c>
      <c r="F84" s="53">
        <v>133337.20706264634</v>
      </c>
    </row>
    <row r="85" spans="1:6" ht="15.6">
      <c r="A85" s="62" t="s">
        <v>173</v>
      </c>
      <c r="B85" s="62"/>
      <c r="C85" s="51">
        <v>2792</v>
      </c>
      <c r="D85" s="70"/>
      <c r="E85" s="62"/>
      <c r="F85" s="53"/>
    </row>
    <row r="86" spans="1:6" ht="15.6">
      <c r="A86" s="44" t="s">
        <v>211</v>
      </c>
      <c r="B86" s="44"/>
      <c r="C86" s="51">
        <v>3695896.7353539728</v>
      </c>
      <c r="D86" s="56"/>
      <c r="E86" s="55"/>
      <c r="F86" s="57">
        <v>268321.97317584243</v>
      </c>
    </row>
    <row r="87" spans="1:6" ht="15.6">
      <c r="A87" s="44" t="s">
        <v>212</v>
      </c>
      <c r="B87" s="44"/>
      <c r="C87" s="51">
        <v>100237.9878157135</v>
      </c>
      <c r="D87" s="56"/>
      <c r="E87" s="55"/>
      <c r="F87" s="57">
        <v>4167.2379546518341</v>
      </c>
    </row>
    <row r="88" spans="1:6" ht="16.2" thickBot="1">
      <c r="A88" s="62" t="s">
        <v>176</v>
      </c>
      <c r="B88" s="62"/>
      <c r="C88" s="71">
        <v>3796134.7231696863</v>
      </c>
      <c r="D88" s="72"/>
      <c r="E88" s="73"/>
      <c r="F88" s="60">
        <v>272489.21113049425</v>
      </c>
    </row>
    <row r="89" spans="1:6" ht="15" thickTop="1"/>
    <row r="91" spans="1:6" ht="15.6">
      <c r="A91" s="61" t="s">
        <v>218</v>
      </c>
      <c r="B91" s="62"/>
      <c r="C91" s="62"/>
      <c r="D91" s="62"/>
      <c r="E91" s="62"/>
      <c r="F91" s="62"/>
    </row>
    <row r="92" spans="1:6" ht="15.6">
      <c r="A92" s="62" t="s">
        <v>35</v>
      </c>
      <c r="B92" s="62"/>
      <c r="C92" s="62"/>
      <c r="D92" s="62"/>
      <c r="E92" s="62"/>
      <c r="F92" s="62"/>
    </row>
    <row r="93" spans="1:6" ht="15.6">
      <c r="A93" s="62"/>
      <c r="B93" s="62"/>
      <c r="C93" s="62"/>
      <c r="D93" s="62"/>
      <c r="E93" s="62"/>
      <c r="F93" s="62"/>
    </row>
    <row r="94" spans="1:6" ht="15.6">
      <c r="A94" s="62" t="s">
        <v>219</v>
      </c>
      <c r="B94" s="62"/>
      <c r="C94" s="66">
        <v>144</v>
      </c>
      <c r="D94" s="67">
        <v>3.9</v>
      </c>
      <c r="E94" s="62"/>
      <c r="F94" s="53">
        <v>562</v>
      </c>
    </row>
    <row r="95" spans="1:6" ht="15.6">
      <c r="A95" s="62" t="s">
        <v>220</v>
      </c>
      <c r="B95" s="62"/>
      <c r="C95" s="66">
        <v>180</v>
      </c>
      <c r="D95" s="67">
        <v>7</v>
      </c>
      <c r="E95" s="62"/>
      <c r="F95" s="53">
        <v>1260</v>
      </c>
    </row>
    <row r="96" spans="1:6" ht="15.6">
      <c r="A96" s="62" t="s">
        <v>221</v>
      </c>
      <c r="B96" s="62"/>
      <c r="C96" s="66">
        <v>324</v>
      </c>
      <c r="D96" s="76"/>
      <c r="E96" s="62"/>
      <c r="F96" s="69"/>
    </row>
    <row r="97" spans="1:6" ht="15.6">
      <c r="A97" s="62" t="s">
        <v>222</v>
      </c>
      <c r="B97" s="62"/>
      <c r="C97" s="66">
        <v>282712</v>
      </c>
      <c r="D97" s="77">
        <v>8.5820000000000007</v>
      </c>
      <c r="E97" s="53" t="s">
        <v>172</v>
      </c>
      <c r="F97" s="69">
        <v>24262</v>
      </c>
    </row>
    <row r="98" spans="1:6" ht="15.6">
      <c r="A98" s="62" t="s">
        <v>204</v>
      </c>
      <c r="B98" s="62"/>
      <c r="C98" s="78">
        <v>282712</v>
      </c>
      <c r="D98" s="66"/>
      <c r="E98" s="53"/>
      <c r="F98" s="69">
        <v>26084</v>
      </c>
    </row>
    <row r="99" spans="1:6" ht="15.6">
      <c r="A99" s="62" t="s">
        <v>175</v>
      </c>
      <c r="B99" s="62"/>
      <c r="C99" s="79">
        <v>2569.407589389054</v>
      </c>
      <c r="D99" s="80"/>
      <c r="E99" s="80"/>
      <c r="F99" s="81">
        <v>344.89560655615463</v>
      </c>
    </row>
    <row r="100" spans="1:6" ht="16.2" thickBot="1">
      <c r="A100" s="62" t="s">
        <v>223</v>
      </c>
      <c r="B100" s="62"/>
      <c r="C100" s="82">
        <v>285281.40758938907</v>
      </c>
      <c r="D100" s="73"/>
      <c r="E100" s="73"/>
      <c r="F100" s="59">
        <v>26428.895606556154</v>
      </c>
    </row>
    <row r="101" spans="1:6" ht="15" thickTop="1"/>
    <row r="103" spans="1:6" ht="15.6">
      <c r="A103" s="49" t="s">
        <v>224</v>
      </c>
      <c r="B103" s="83"/>
      <c r="C103" s="83"/>
      <c r="D103" s="83"/>
      <c r="E103" s="83"/>
      <c r="F103" s="83"/>
    </row>
    <row r="104" spans="1:6" ht="15.6">
      <c r="A104" s="83" t="s">
        <v>39</v>
      </c>
      <c r="B104" s="83"/>
      <c r="C104" s="83"/>
      <c r="D104" s="83"/>
      <c r="E104" s="83"/>
      <c r="F104" s="83"/>
    </row>
    <row r="105" spans="1:6" ht="15.6">
      <c r="A105" s="84" t="s">
        <v>225</v>
      </c>
      <c r="B105" s="83"/>
      <c r="C105" s="83"/>
      <c r="D105" s="83"/>
      <c r="E105" s="83"/>
      <c r="F105" s="83"/>
    </row>
    <row r="106" spans="1:6">
      <c r="A106" s="44" t="s">
        <v>226</v>
      </c>
      <c r="B106" s="44"/>
      <c r="C106" s="44"/>
      <c r="D106" s="44"/>
      <c r="E106" s="44"/>
      <c r="F106" s="50"/>
    </row>
    <row r="107" spans="1:6" ht="15.6">
      <c r="A107" s="44" t="s">
        <v>164</v>
      </c>
      <c r="B107" s="44"/>
      <c r="C107" s="51">
        <v>11337.526455606199</v>
      </c>
      <c r="D107" s="63">
        <v>10.29</v>
      </c>
      <c r="E107" s="44"/>
      <c r="F107" s="53">
        <v>116663</v>
      </c>
    </row>
    <row r="108" spans="1:6" ht="15.6">
      <c r="A108" s="44" t="s">
        <v>165</v>
      </c>
      <c r="B108" s="44"/>
      <c r="C108" s="51">
        <v>922.24583777958799</v>
      </c>
      <c r="D108" s="63">
        <v>18.829999999999998</v>
      </c>
      <c r="E108" s="44"/>
      <c r="F108" s="53">
        <v>17366</v>
      </c>
    </row>
    <row r="109" spans="1:6" ht="15.6">
      <c r="A109" s="44" t="s">
        <v>166</v>
      </c>
      <c r="B109" s="44"/>
      <c r="C109" s="51">
        <v>0</v>
      </c>
      <c r="D109" s="63">
        <v>38.08</v>
      </c>
      <c r="E109" s="44"/>
      <c r="F109" s="53">
        <v>0</v>
      </c>
    </row>
    <row r="110" spans="1:6" ht="15.6">
      <c r="A110" s="44" t="s">
        <v>227</v>
      </c>
      <c r="B110" s="44"/>
      <c r="C110" s="51"/>
      <c r="D110" s="85"/>
      <c r="E110" s="44"/>
      <c r="F110" s="50"/>
    </row>
    <row r="111" spans="1:6" ht="15.6">
      <c r="A111" s="44" t="s">
        <v>164</v>
      </c>
      <c r="B111" s="44"/>
      <c r="C111" s="51">
        <v>3195.22491672157</v>
      </c>
      <c r="D111" s="52">
        <v>9.65</v>
      </c>
      <c r="E111" s="44"/>
      <c r="F111" s="53">
        <v>30834</v>
      </c>
    </row>
    <row r="112" spans="1:6" ht="15.6">
      <c r="A112" s="44" t="s">
        <v>165</v>
      </c>
      <c r="B112" s="44"/>
      <c r="C112" s="51">
        <v>0</v>
      </c>
      <c r="D112" s="52">
        <v>17.57</v>
      </c>
      <c r="E112" s="44"/>
      <c r="F112" s="53">
        <v>0</v>
      </c>
    </row>
    <row r="113" spans="1:6" ht="15.6">
      <c r="A113" s="84" t="s">
        <v>228</v>
      </c>
      <c r="B113" s="44"/>
      <c r="C113" s="51"/>
      <c r="D113" s="52"/>
      <c r="E113" s="44"/>
      <c r="F113" s="53"/>
    </row>
    <row r="114" spans="1:6" ht="15.6">
      <c r="A114" s="44" t="s">
        <v>226</v>
      </c>
      <c r="B114" s="44"/>
      <c r="C114" s="51"/>
      <c r="D114" s="85"/>
      <c r="E114" s="44"/>
      <c r="F114" s="50"/>
    </row>
    <row r="115" spans="1:6" ht="15.6">
      <c r="A115" s="44" t="s">
        <v>164</v>
      </c>
      <c r="B115" s="44"/>
      <c r="C115" s="51">
        <v>409.000689070249</v>
      </c>
      <c r="D115" s="52">
        <v>13.44</v>
      </c>
      <c r="E115" s="44"/>
      <c r="F115" s="53">
        <v>5497</v>
      </c>
    </row>
    <row r="116" spans="1:6" ht="15.6">
      <c r="A116" s="44" t="s">
        <v>165</v>
      </c>
      <c r="B116" s="44"/>
      <c r="C116" s="51">
        <v>359.23481992392999</v>
      </c>
      <c r="D116" s="52">
        <v>22.57</v>
      </c>
      <c r="E116" s="44"/>
      <c r="F116" s="53">
        <v>8108</v>
      </c>
    </row>
    <row r="117" spans="1:6" ht="15.6">
      <c r="A117" s="44" t="s">
        <v>166</v>
      </c>
      <c r="B117" s="44"/>
      <c r="C117" s="51">
        <v>0</v>
      </c>
      <c r="D117" s="52">
        <v>41.85</v>
      </c>
      <c r="E117" s="44"/>
      <c r="F117" s="53">
        <v>0</v>
      </c>
    </row>
    <row r="118" spans="1:6" ht="15.6">
      <c r="A118" s="44" t="s">
        <v>227</v>
      </c>
      <c r="B118" s="44"/>
      <c r="C118" s="51"/>
      <c r="D118" s="85"/>
      <c r="E118" s="44"/>
      <c r="F118" s="50"/>
    </row>
    <row r="119" spans="1:6" ht="15.6">
      <c r="A119" s="44" t="s">
        <v>164</v>
      </c>
      <c r="B119" s="44"/>
      <c r="C119" s="51">
        <v>0</v>
      </c>
      <c r="D119" s="52">
        <v>12.72</v>
      </c>
      <c r="E119" s="44"/>
      <c r="F119" s="53">
        <v>0</v>
      </c>
    </row>
    <row r="120" spans="1:6" ht="15.6">
      <c r="A120" s="44" t="s">
        <v>165</v>
      </c>
      <c r="B120" s="44"/>
      <c r="C120" s="51">
        <v>0</v>
      </c>
      <c r="D120" s="52">
        <v>21.34</v>
      </c>
      <c r="E120" s="44"/>
      <c r="F120" s="53">
        <v>0</v>
      </c>
    </row>
    <row r="121" spans="1:6" ht="15.6">
      <c r="A121" s="84" t="s">
        <v>229</v>
      </c>
      <c r="B121" s="83"/>
      <c r="C121" s="51"/>
      <c r="D121" s="85"/>
      <c r="E121" s="83"/>
      <c r="F121" s="83"/>
    </row>
    <row r="122" spans="1:6" ht="15.6">
      <c r="A122" s="44" t="s">
        <v>226</v>
      </c>
      <c r="B122" s="44"/>
      <c r="C122" s="51"/>
      <c r="D122" s="85"/>
      <c r="E122" s="44"/>
      <c r="F122" s="50"/>
    </row>
    <row r="123" spans="1:6" ht="15.6">
      <c r="A123" s="44" t="s">
        <v>164</v>
      </c>
      <c r="B123" s="44"/>
      <c r="C123" s="51">
        <v>0</v>
      </c>
      <c r="D123" s="52">
        <v>13.43</v>
      </c>
      <c r="E123" s="44"/>
      <c r="F123" s="53">
        <v>0</v>
      </c>
    </row>
    <row r="124" spans="1:6" ht="15.6">
      <c r="A124" s="44" t="s">
        <v>165</v>
      </c>
      <c r="B124" s="44"/>
      <c r="C124" s="51">
        <v>0</v>
      </c>
      <c r="D124" s="52">
        <v>21.83</v>
      </c>
      <c r="E124" s="44"/>
      <c r="F124" s="53">
        <v>0</v>
      </c>
    </row>
    <row r="125" spans="1:6" ht="15.6">
      <c r="A125" s="44" t="s">
        <v>166</v>
      </c>
      <c r="B125" s="44"/>
      <c r="C125" s="51">
        <v>0</v>
      </c>
      <c r="D125" s="52">
        <v>41.13</v>
      </c>
      <c r="E125" s="44"/>
      <c r="F125" s="53">
        <v>0</v>
      </c>
    </row>
    <row r="126" spans="1:6" ht="15.6">
      <c r="A126" s="44" t="s">
        <v>227</v>
      </c>
      <c r="B126" s="44"/>
      <c r="C126" s="51"/>
      <c r="D126" s="85"/>
      <c r="E126" s="44"/>
      <c r="F126" s="50"/>
    </row>
    <row r="127" spans="1:6" ht="15.6">
      <c r="A127" s="44" t="s">
        <v>164</v>
      </c>
      <c r="B127" s="44"/>
      <c r="C127" s="51">
        <v>0</v>
      </c>
      <c r="D127" s="52">
        <v>12.72</v>
      </c>
      <c r="E127" s="44"/>
      <c r="F127" s="53">
        <v>0</v>
      </c>
    </row>
    <row r="128" spans="1:6" ht="15.6">
      <c r="A128" s="44" t="s">
        <v>165</v>
      </c>
      <c r="B128" s="44"/>
      <c r="C128" s="51">
        <v>0</v>
      </c>
      <c r="D128" s="52">
        <v>20.6</v>
      </c>
      <c r="E128" s="44"/>
      <c r="F128" s="53">
        <v>0</v>
      </c>
    </row>
    <row r="129" spans="1:6" ht="15.6">
      <c r="A129" s="84" t="s">
        <v>230</v>
      </c>
      <c r="B129" s="83"/>
      <c r="C129" s="51"/>
      <c r="D129" s="85"/>
      <c r="E129" s="83"/>
      <c r="F129" s="83"/>
    </row>
    <row r="130" spans="1:6" ht="15.6">
      <c r="A130" s="44" t="s">
        <v>164</v>
      </c>
      <c r="B130" s="44"/>
      <c r="C130" s="51">
        <v>180.16648550994401</v>
      </c>
      <c r="D130" s="63">
        <v>10.75</v>
      </c>
      <c r="E130" s="44"/>
      <c r="F130" s="53">
        <v>1937</v>
      </c>
    </row>
    <row r="131" spans="1:6" ht="15.6">
      <c r="A131" s="44" t="s">
        <v>165</v>
      </c>
      <c r="B131" s="44"/>
      <c r="C131" s="51">
        <v>581.53297028850704</v>
      </c>
      <c r="D131" s="63">
        <v>18.82</v>
      </c>
      <c r="E131" s="44"/>
      <c r="F131" s="53">
        <v>10944</v>
      </c>
    </row>
    <row r="132" spans="1:6" ht="15.6">
      <c r="A132" s="44" t="s">
        <v>166</v>
      </c>
      <c r="B132" s="44"/>
      <c r="C132" s="51">
        <v>0</v>
      </c>
      <c r="D132" s="63">
        <v>40.200000000000003</v>
      </c>
      <c r="E132" s="44"/>
      <c r="F132" s="53">
        <v>0</v>
      </c>
    </row>
    <row r="133" spans="1:6" ht="15.6">
      <c r="A133" s="86" t="s">
        <v>231</v>
      </c>
      <c r="B133" s="44"/>
      <c r="C133" s="51"/>
      <c r="D133" s="52"/>
      <c r="E133" s="44"/>
      <c r="F133" s="53"/>
    </row>
    <row r="134" spans="1:6" ht="15.6">
      <c r="A134" s="44" t="s">
        <v>232</v>
      </c>
      <c r="B134" s="44"/>
      <c r="C134" s="51">
        <v>0</v>
      </c>
      <c r="D134" s="52">
        <v>38.58</v>
      </c>
      <c r="E134" s="44"/>
      <c r="F134" s="53">
        <v>0</v>
      </c>
    </row>
    <row r="135" spans="1:6" ht="15.6">
      <c r="A135" s="44" t="s">
        <v>173</v>
      </c>
      <c r="B135" s="44"/>
      <c r="C135" s="51">
        <v>386</v>
      </c>
      <c r="D135" s="87"/>
      <c r="E135" s="44"/>
      <c r="F135" s="53"/>
    </row>
    <row r="136" spans="1:6" ht="15.6">
      <c r="A136" s="44" t="s">
        <v>204</v>
      </c>
      <c r="B136" s="44"/>
      <c r="C136" s="51">
        <v>1469704.1535796304</v>
      </c>
      <c r="D136" s="56"/>
      <c r="E136" s="55"/>
      <c r="F136" s="57">
        <v>191349</v>
      </c>
    </row>
    <row r="137" spans="1:6" ht="15.6">
      <c r="A137" s="44" t="s">
        <v>175</v>
      </c>
      <c r="B137" s="44"/>
      <c r="C137" s="51">
        <v>39593.244409251849</v>
      </c>
      <c r="D137" s="56"/>
      <c r="E137" s="55"/>
      <c r="F137" s="57">
        <v>2970.6738695347722</v>
      </c>
    </row>
    <row r="138" spans="1:6" ht="16.2" thickBot="1">
      <c r="A138" s="44" t="s">
        <v>176</v>
      </c>
      <c r="B138" s="44"/>
      <c r="C138" s="58">
        <v>1509297.3979888824</v>
      </c>
      <c r="D138" s="59"/>
      <c r="E138" s="59"/>
      <c r="F138" s="60">
        <v>194319.67386953477</v>
      </c>
    </row>
    <row r="139" spans="1:6" ht="15" thickTop="1"/>
  </sheetData>
  <mergeCells count="5">
    <mergeCell ref="A1:I1"/>
    <mergeCell ref="A2:I2"/>
    <mergeCell ref="A3:I3"/>
    <mergeCell ref="A4:I4"/>
    <mergeCell ref="D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4.4"/>
  <cols>
    <col min="1" max="1" width="11.5546875" bestFit="1" customWidth="1"/>
    <col min="3" max="3" width="10.44140625" bestFit="1" customWidth="1"/>
    <col min="4" max="4" width="11.88671875" bestFit="1" customWidth="1"/>
    <col min="5" max="5" width="12.88671875" bestFit="1" customWidth="1"/>
    <col min="7" max="7" width="19.44140625" bestFit="1" customWidth="1"/>
    <col min="8" max="8" width="20.44140625" bestFit="1" customWidth="1"/>
  </cols>
  <sheetData>
    <row r="1" spans="1:10">
      <c r="A1" s="1" t="s">
        <v>300</v>
      </c>
      <c r="B1" s="1" t="s">
        <v>260</v>
      </c>
      <c r="C1" s="1" t="s">
        <v>301</v>
      </c>
      <c r="D1" s="1" t="s">
        <v>298</v>
      </c>
      <c r="E1" s="1" t="s">
        <v>299</v>
      </c>
      <c r="G1" s="1" t="s">
        <v>304</v>
      </c>
      <c r="H1" s="1" t="s">
        <v>305</v>
      </c>
    </row>
    <row r="2" spans="1:10">
      <c r="A2" t="s">
        <v>110</v>
      </c>
      <c r="B2">
        <v>1</v>
      </c>
      <c r="C2" s="6">
        <v>12155</v>
      </c>
      <c r="D2" s="211">
        <v>0.8</v>
      </c>
      <c r="E2" s="211">
        <v>0.2</v>
      </c>
      <c r="G2" s="88">
        <f>C2*D2</f>
        <v>9724</v>
      </c>
      <c r="H2" s="88">
        <f>C2*E2</f>
        <v>2431</v>
      </c>
    </row>
    <row r="3" spans="1:10">
      <c r="A3" t="s">
        <v>110</v>
      </c>
      <c r="B3">
        <v>2</v>
      </c>
      <c r="C3" s="6">
        <v>490</v>
      </c>
      <c r="D3" s="211">
        <v>0</v>
      </c>
      <c r="E3" s="211">
        <v>1</v>
      </c>
      <c r="G3" s="88">
        <f t="shared" ref="G3:G10" si="0">C3*D3</f>
        <v>0</v>
      </c>
      <c r="H3" s="88">
        <f t="shared" ref="H3:H10" si="1">C3*E3</f>
        <v>490</v>
      </c>
    </row>
    <row r="4" spans="1:10">
      <c r="A4" t="s">
        <v>110</v>
      </c>
      <c r="B4">
        <v>3</v>
      </c>
      <c r="C4" s="6">
        <v>16</v>
      </c>
      <c r="D4" s="211">
        <v>0</v>
      </c>
      <c r="E4" s="211">
        <v>1</v>
      </c>
      <c r="G4" s="88">
        <f t="shared" si="0"/>
        <v>0</v>
      </c>
      <c r="H4" s="88">
        <f t="shared" si="1"/>
        <v>16</v>
      </c>
    </row>
    <row r="5" spans="1:10">
      <c r="A5" t="s">
        <v>302</v>
      </c>
      <c r="B5">
        <v>1</v>
      </c>
      <c r="C5" s="6">
        <v>13936</v>
      </c>
      <c r="D5" s="211">
        <v>0.6</v>
      </c>
      <c r="E5" s="211">
        <v>0.4</v>
      </c>
      <c r="G5" s="88">
        <f t="shared" si="0"/>
        <v>8361.6</v>
      </c>
      <c r="H5" s="88">
        <f t="shared" si="1"/>
        <v>5574.4000000000005</v>
      </c>
    </row>
    <row r="6" spans="1:10">
      <c r="A6" t="s">
        <v>302</v>
      </c>
      <c r="B6">
        <v>2</v>
      </c>
      <c r="C6" s="6">
        <v>4788</v>
      </c>
      <c r="D6" s="211">
        <v>0</v>
      </c>
      <c r="E6" s="211">
        <v>1</v>
      </c>
      <c r="G6" s="88">
        <f t="shared" si="0"/>
        <v>0</v>
      </c>
      <c r="H6" s="88">
        <f t="shared" si="1"/>
        <v>4788</v>
      </c>
    </row>
    <row r="7" spans="1:10">
      <c r="A7" t="s">
        <v>302</v>
      </c>
      <c r="B7">
        <v>3</v>
      </c>
      <c r="C7" s="6">
        <v>961</v>
      </c>
      <c r="D7" s="211">
        <v>0</v>
      </c>
      <c r="E7" s="211">
        <v>1</v>
      </c>
      <c r="G7" s="88">
        <f t="shared" si="0"/>
        <v>0</v>
      </c>
      <c r="H7" s="88">
        <f t="shared" si="1"/>
        <v>961</v>
      </c>
    </row>
    <row r="8" spans="1:10">
      <c r="A8" t="s">
        <v>303</v>
      </c>
      <c r="B8">
        <v>1</v>
      </c>
      <c r="C8" s="6">
        <v>564</v>
      </c>
      <c r="D8" s="211">
        <v>0.6</v>
      </c>
      <c r="E8" s="211">
        <v>0.4</v>
      </c>
      <c r="G8" s="88">
        <f t="shared" si="0"/>
        <v>338.4</v>
      </c>
      <c r="H8" s="88">
        <f t="shared" si="1"/>
        <v>225.60000000000002</v>
      </c>
    </row>
    <row r="9" spans="1:10">
      <c r="A9" t="s">
        <v>303</v>
      </c>
      <c r="B9">
        <v>2</v>
      </c>
      <c r="C9" s="6">
        <v>432</v>
      </c>
      <c r="D9" s="211">
        <v>0</v>
      </c>
      <c r="E9" s="211">
        <v>1</v>
      </c>
      <c r="G9" s="88">
        <f t="shared" si="0"/>
        <v>0</v>
      </c>
      <c r="H9" s="88">
        <f t="shared" si="1"/>
        <v>432</v>
      </c>
    </row>
    <row r="10" spans="1:10">
      <c r="A10" t="s">
        <v>303</v>
      </c>
      <c r="B10">
        <v>3</v>
      </c>
      <c r="C10" s="6">
        <v>36</v>
      </c>
      <c r="D10" s="211">
        <v>0</v>
      </c>
      <c r="E10" s="211">
        <v>1</v>
      </c>
      <c r="G10" s="88">
        <f t="shared" si="0"/>
        <v>0</v>
      </c>
      <c r="H10" s="88">
        <f t="shared" si="1"/>
        <v>36</v>
      </c>
    </row>
    <row r="12" spans="1:10">
      <c r="A12" t="s">
        <v>306</v>
      </c>
      <c r="B12">
        <v>1</v>
      </c>
      <c r="G12" s="88">
        <f>G2+G5+G8</f>
        <v>18424</v>
      </c>
      <c r="H12" s="88">
        <f t="shared" ref="H12:H14" si="2">H2+H5+H8</f>
        <v>8231</v>
      </c>
      <c r="J12" s="212">
        <f>G12/SUM(G12:H12)</f>
        <v>0.6912024010504596</v>
      </c>
    </row>
    <row r="13" spans="1:10">
      <c r="A13" t="s">
        <v>306</v>
      </c>
      <c r="B13">
        <v>2</v>
      </c>
      <c r="G13" s="88">
        <f>G3+G6+G9</f>
        <v>0</v>
      </c>
      <c r="H13" s="88">
        <f t="shared" si="2"/>
        <v>5710</v>
      </c>
    </row>
    <row r="14" spans="1:10">
      <c r="A14" t="s">
        <v>306</v>
      </c>
      <c r="B14">
        <v>3</v>
      </c>
      <c r="G14" s="88">
        <f>G4+G7+G10</f>
        <v>0</v>
      </c>
      <c r="H14" s="88">
        <f t="shared" si="2"/>
        <v>1013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view="pageBreakPreview" zoomScale="60" zoomScaleNormal="100" workbookViewId="0"/>
  </sheetViews>
  <sheetFormatPr defaultRowHeight="14.4"/>
  <cols>
    <col min="1" max="1" width="27.88671875" bestFit="1" customWidth="1"/>
    <col min="3" max="3" width="2.44140625" customWidth="1"/>
    <col min="4" max="4" width="10.33203125" bestFit="1" customWidth="1"/>
    <col min="5" max="5" width="12.88671875" bestFit="1" customWidth="1"/>
    <col min="6" max="11" width="15.44140625" customWidth="1"/>
    <col min="12" max="12" width="34.5546875" customWidth="1"/>
    <col min="13" max="13" width="15.44140625" customWidth="1"/>
    <col min="14" max="14" width="19.44140625" customWidth="1"/>
    <col min="15" max="15" width="15.44140625" customWidth="1"/>
  </cols>
  <sheetData>
    <row r="1" spans="1:15" ht="17.399999999999999">
      <c r="A1" s="136" t="s">
        <v>101</v>
      </c>
      <c r="B1" s="137"/>
      <c r="C1" s="137"/>
      <c r="D1" s="137"/>
      <c r="E1" s="136"/>
      <c r="F1" s="136"/>
      <c r="G1" s="136"/>
      <c r="H1" s="136"/>
      <c r="I1" s="136"/>
      <c r="J1" s="138"/>
      <c r="K1" s="138"/>
      <c r="L1" s="138"/>
      <c r="M1" s="138"/>
      <c r="N1" s="138"/>
      <c r="O1" s="138"/>
    </row>
    <row r="2" spans="1:15" ht="17.399999999999999">
      <c r="A2" s="159" t="s">
        <v>270</v>
      </c>
      <c r="B2" s="137"/>
      <c r="C2" s="137"/>
      <c r="D2" s="137"/>
      <c r="E2" s="159"/>
      <c r="F2" s="159"/>
      <c r="G2" s="159"/>
      <c r="H2" s="159"/>
      <c r="I2" s="159"/>
      <c r="J2" s="138"/>
      <c r="K2" s="138"/>
      <c r="L2" s="138"/>
      <c r="M2" s="138"/>
      <c r="N2" s="138"/>
      <c r="O2" s="138"/>
    </row>
    <row r="3" spans="1:15" ht="17.399999999999999">
      <c r="A3" s="137"/>
      <c r="B3" s="137"/>
      <c r="C3" s="137"/>
      <c r="D3" s="137"/>
      <c r="E3" s="157"/>
      <c r="F3" s="158"/>
      <c r="G3" s="158"/>
      <c r="H3" s="158"/>
      <c r="I3" s="158"/>
      <c r="J3" s="138"/>
      <c r="K3" s="138"/>
      <c r="L3" s="138"/>
      <c r="M3" s="138"/>
      <c r="N3" s="138"/>
      <c r="O3" s="139"/>
    </row>
    <row r="4" spans="1:15">
      <c r="A4" s="140" t="s">
        <v>249</v>
      </c>
      <c r="B4" s="141"/>
      <c r="C4" s="141"/>
      <c r="D4" s="139"/>
      <c r="E4" s="142" t="s">
        <v>250</v>
      </c>
      <c r="F4" s="144" t="s">
        <v>272</v>
      </c>
      <c r="G4" s="144"/>
      <c r="H4" s="144"/>
      <c r="I4" s="144"/>
      <c r="J4" s="145"/>
      <c r="K4" s="145"/>
      <c r="L4" s="224" t="s">
        <v>273</v>
      </c>
      <c r="M4" s="144" t="s">
        <v>271</v>
      </c>
      <c r="N4" s="145"/>
      <c r="O4" s="146"/>
    </row>
    <row r="5" spans="1:15" ht="53.4">
      <c r="A5" s="140"/>
      <c r="B5" s="141"/>
      <c r="C5" s="141"/>
      <c r="D5" s="139"/>
      <c r="E5" s="142" t="s">
        <v>260</v>
      </c>
      <c r="F5" s="161" t="s">
        <v>62</v>
      </c>
      <c r="G5" s="161" t="s">
        <v>63</v>
      </c>
      <c r="H5" s="161" t="s">
        <v>64</v>
      </c>
      <c r="I5" s="161" t="s">
        <v>65</v>
      </c>
      <c r="J5" s="161" t="s">
        <v>66</v>
      </c>
      <c r="K5" s="161" t="s">
        <v>67</v>
      </c>
      <c r="L5" s="225" t="s">
        <v>318</v>
      </c>
      <c r="M5" s="161" t="s">
        <v>295</v>
      </c>
      <c r="N5" s="161" t="s">
        <v>296</v>
      </c>
      <c r="O5" s="162" t="s">
        <v>297</v>
      </c>
    </row>
    <row r="6" spans="1:15">
      <c r="A6" s="147"/>
      <c r="B6" s="147"/>
      <c r="C6" s="147"/>
      <c r="D6" s="147"/>
      <c r="E6" s="196"/>
      <c r="F6" s="177"/>
      <c r="G6" s="177"/>
      <c r="H6" s="177"/>
      <c r="I6" s="177"/>
      <c r="J6" s="150"/>
      <c r="K6" s="150"/>
      <c r="L6" s="226"/>
      <c r="M6" s="150"/>
      <c r="N6" s="150"/>
      <c r="O6" s="178"/>
    </row>
    <row r="7" spans="1:15">
      <c r="A7" s="151"/>
      <c r="B7" s="151"/>
      <c r="C7" s="151"/>
      <c r="D7" s="151"/>
      <c r="E7" s="197"/>
      <c r="F7" s="139"/>
      <c r="G7" s="139"/>
      <c r="H7" s="139"/>
      <c r="I7" s="139"/>
      <c r="J7" s="139"/>
      <c r="K7" s="139"/>
      <c r="L7" s="204"/>
      <c r="M7" s="181"/>
      <c r="N7" s="181"/>
      <c r="O7" s="91"/>
    </row>
    <row r="8" spans="1:15">
      <c r="A8" s="139"/>
      <c r="B8" s="152" t="s">
        <v>251</v>
      </c>
      <c r="C8" s="152"/>
      <c r="D8" s="152" t="s">
        <v>252</v>
      </c>
      <c r="E8" s="198"/>
      <c r="F8" s="153"/>
      <c r="G8" s="153"/>
      <c r="H8" s="153"/>
      <c r="I8" s="153"/>
      <c r="J8" s="139"/>
      <c r="K8" s="139"/>
      <c r="L8" s="204"/>
      <c r="M8" s="181"/>
      <c r="N8" s="181"/>
      <c r="O8" s="268"/>
    </row>
    <row r="9" spans="1:15" ht="15.6">
      <c r="A9" s="163" t="s">
        <v>262</v>
      </c>
      <c r="B9" s="164"/>
      <c r="C9" s="164"/>
      <c r="D9" s="269">
        <v>183.56123999999997</v>
      </c>
      <c r="E9" s="229"/>
      <c r="F9" s="270" t="s">
        <v>311</v>
      </c>
      <c r="G9" s="270" t="s">
        <v>311</v>
      </c>
      <c r="H9" s="270" t="s">
        <v>311</v>
      </c>
      <c r="I9" s="270" t="s">
        <v>311</v>
      </c>
      <c r="J9" s="271" t="s">
        <v>312</v>
      </c>
      <c r="K9" s="271" t="s">
        <v>313</v>
      </c>
      <c r="L9" s="229"/>
      <c r="M9" s="270" t="s">
        <v>311</v>
      </c>
      <c r="N9" s="270" t="s">
        <v>311</v>
      </c>
      <c r="O9" s="272" t="s">
        <v>312</v>
      </c>
    </row>
    <row r="10" spans="1:15" ht="15.6">
      <c r="A10" s="163" t="s">
        <v>253</v>
      </c>
      <c r="B10" s="164"/>
      <c r="C10" s="164"/>
      <c r="D10" s="209"/>
      <c r="E10" s="199"/>
      <c r="F10" s="223">
        <v>472.65</v>
      </c>
      <c r="G10" s="223">
        <v>472.65</v>
      </c>
      <c r="H10" s="223">
        <v>472.65</v>
      </c>
      <c r="I10" s="223">
        <v>472.65</v>
      </c>
      <c r="J10" s="223">
        <v>562.52</v>
      </c>
      <c r="K10" s="223">
        <v>690.7</v>
      </c>
      <c r="L10" s="229"/>
      <c r="M10" s="223">
        <v>472.65</v>
      </c>
      <c r="N10" s="223">
        <v>472.65</v>
      </c>
      <c r="O10" s="185">
        <v>562.52</v>
      </c>
    </row>
    <row r="11" spans="1:15" ht="15.6">
      <c r="A11" s="163" t="s">
        <v>257</v>
      </c>
      <c r="B11" s="166">
        <v>7.8</v>
      </c>
      <c r="C11" s="166"/>
      <c r="D11" s="167" t="s">
        <v>310</v>
      </c>
      <c r="E11" s="200"/>
      <c r="F11" s="168">
        <f>$B11*$D$9</f>
        <v>1431.7776719999997</v>
      </c>
      <c r="G11" s="168">
        <f t="shared" ref="G11:K11" si="0">$B11*$D$9</f>
        <v>1431.7776719999997</v>
      </c>
      <c r="H11" s="168">
        <f t="shared" si="0"/>
        <v>1431.7776719999997</v>
      </c>
      <c r="I11" s="168">
        <f t="shared" si="0"/>
        <v>1431.7776719999997</v>
      </c>
      <c r="J11" s="168">
        <f t="shared" si="0"/>
        <v>1431.7776719999997</v>
      </c>
      <c r="K11" s="168">
        <f t="shared" si="0"/>
        <v>1431.7776719999997</v>
      </c>
      <c r="L11" s="229"/>
      <c r="M11" s="168">
        <f>$B11*$D$9</f>
        <v>1431.7776719999997</v>
      </c>
      <c r="N11" s="168">
        <f t="shared" ref="N11:O11" si="1">$B11*$D$9</f>
        <v>1431.7776719999997</v>
      </c>
      <c r="O11" s="183">
        <f t="shared" si="1"/>
        <v>1431.7776719999997</v>
      </c>
    </row>
    <row r="12" spans="1:15" ht="15.6">
      <c r="A12" s="163" t="s">
        <v>254</v>
      </c>
      <c r="B12" s="164"/>
      <c r="C12" s="164"/>
      <c r="D12" s="209"/>
      <c r="E12" s="200"/>
      <c r="F12" s="216">
        <f>SUM(F10:F11)</f>
        <v>1904.4276719999998</v>
      </c>
      <c r="G12" s="216">
        <f t="shared" ref="G12:K12" si="2">SUM(G10:G11)</f>
        <v>1904.4276719999998</v>
      </c>
      <c r="H12" s="216">
        <f t="shared" si="2"/>
        <v>1904.4276719999998</v>
      </c>
      <c r="I12" s="216">
        <f t="shared" si="2"/>
        <v>1904.4276719999998</v>
      </c>
      <c r="J12" s="216">
        <f t="shared" si="2"/>
        <v>1994.2976719999997</v>
      </c>
      <c r="K12" s="216">
        <f t="shared" si="2"/>
        <v>2122.477672</v>
      </c>
      <c r="L12" s="227"/>
      <c r="M12" s="216">
        <f>SUM(M10:M11)</f>
        <v>1904.4276719999998</v>
      </c>
      <c r="N12" s="216">
        <f t="shared" ref="N12:O12" si="3">SUM(N10:N11)</f>
        <v>1904.4276719999998</v>
      </c>
      <c r="O12" s="218">
        <f t="shared" si="3"/>
        <v>1994.2976719999997</v>
      </c>
    </row>
    <row r="13" spans="1:15" ht="15.6">
      <c r="A13" s="163" t="s">
        <v>255</v>
      </c>
      <c r="B13" s="164"/>
      <c r="C13" s="164"/>
      <c r="D13" s="209"/>
      <c r="E13" s="201"/>
      <c r="F13" s="273">
        <v>1.12E-2</v>
      </c>
      <c r="G13" s="273">
        <v>1.12E-2</v>
      </c>
      <c r="H13" s="274">
        <v>1.12E-2</v>
      </c>
      <c r="I13" s="274">
        <v>1.12E-2</v>
      </c>
      <c r="J13" s="274">
        <v>1.12E-2</v>
      </c>
      <c r="K13" s="274">
        <v>1.12E-2</v>
      </c>
      <c r="L13" s="228"/>
      <c r="M13" s="273">
        <v>8.0000000000000002E-3</v>
      </c>
      <c r="N13" s="273">
        <v>8.0000000000000002E-3</v>
      </c>
      <c r="O13" s="275">
        <v>8.0000000000000002E-3</v>
      </c>
    </row>
    <row r="14" spans="1:15" ht="15.6">
      <c r="A14" s="163" t="s">
        <v>256</v>
      </c>
      <c r="B14" s="164"/>
      <c r="C14" s="164"/>
      <c r="D14" s="209"/>
      <c r="E14" s="200"/>
      <c r="F14" s="168">
        <f t="shared" ref="F14:J14" si="4">+F12*F13</f>
        <v>21.329589926399997</v>
      </c>
      <c r="G14" s="167">
        <f t="shared" si="4"/>
        <v>21.329589926399997</v>
      </c>
      <c r="H14" s="167">
        <f t="shared" si="4"/>
        <v>21.329589926399997</v>
      </c>
      <c r="I14" s="167">
        <f t="shared" si="4"/>
        <v>21.329589926399997</v>
      </c>
      <c r="J14" s="167">
        <f t="shared" si="4"/>
        <v>22.336133926399995</v>
      </c>
      <c r="K14" s="167">
        <f>+K12*K13</f>
        <v>23.771749926399998</v>
      </c>
      <c r="L14" s="200"/>
      <c r="M14" s="168">
        <f t="shared" ref="M14:N14" si="5">+M12*M13</f>
        <v>15.235421375999998</v>
      </c>
      <c r="N14" s="167">
        <f t="shared" si="5"/>
        <v>15.235421375999998</v>
      </c>
      <c r="O14" s="183">
        <f>+O12*O13</f>
        <v>15.954381375999997</v>
      </c>
    </row>
    <row r="15" spans="1:15" ht="15.6">
      <c r="A15" s="165"/>
      <c r="B15" s="164"/>
      <c r="C15" s="164"/>
      <c r="D15" s="209"/>
      <c r="E15" s="229"/>
      <c r="F15" s="208"/>
      <c r="G15" s="208"/>
      <c r="H15" s="209"/>
      <c r="I15" s="209"/>
      <c r="J15" s="209"/>
      <c r="K15" s="209"/>
      <c r="L15" s="229"/>
      <c r="M15" s="208"/>
      <c r="N15" s="208"/>
      <c r="O15" s="210"/>
    </row>
    <row r="16" spans="1:15" ht="15.6">
      <c r="A16" s="169" t="s">
        <v>263</v>
      </c>
      <c r="B16" s="170"/>
      <c r="C16" s="170"/>
      <c r="D16" s="169"/>
      <c r="E16" s="202"/>
      <c r="F16" s="270" t="s">
        <v>314</v>
      </c>
      <c r="G16" s="270" t="s">
        <v>314</v>
      </c>
      <c r="H16" s="270" t="s">
        <v>314</v>
      </c>
      <c r="I16" s="270" t="s">
        <v>314</v>
      </c>
      <c r="J16" s="271" t="s">
        <v>311</v>
      </c>
      <c r="K16" s="271" t="s">
        <v>312</v>
      </c>
      <c r="L16" s="230" t="s">
        <v>314</v>
      </c>
      <c r="M16" s="171"/>
      <c r="N16" s="208"/>
      <c r="O16" s="184"/>
    </row>
    <row r="17" spans="1:15" ht="15.6">
      <c r="A17" s="169" t="s">
        <v>253</v>
      </c>
      <c r="B17" s="166"/>
      <c r="C17" s="166"/>
      <c r="D17" s="169"/>
      <c r="E17" s="199"/>
      <c r="F17" s="223">
        <v>652.07000000000005</v>
      </c>
      <c r="G17" s="223">
        <v>652.07000000000005</v>
      </c>
      <c r="H17" s="276">
        <v>652.07000000000005</v>
      </c>
      <c r="I17" s="276">
        <v>652.07000000000005</v>
      </c>
      <c r="J17" s="223">
        <v>1285.45</v>
      </c>
      <c r="K17" s="223">
        <v>2251.84</v>
      </c>
      <c r="L17" s="199">
        <v>665.6</v>
      </c>
      <c r="M17" s="223"/>
      <c r="N17" s="208"/>
      <c r="O17" s="185"/>
    </row>
    <row r="18" spans="1:15" ht="15.6">
      <c r="A18" s="169" t="s">
        <v>257</v>
      </c>
      <c r="B18" s="166">
        <v>6.9</v>
      </c>
      <c r="C18" s="166"/>
      <c r="D18" s="167" t="s">
        <v>310</v>
      </c>
      <c r="E18" s="203"/>
      <c r="F18" s="168">
        <f>$B18*$D$9</f>
        <v>1266.5725559999998</v>
      </c>
      <c r="G18" s="168">
        <f t="shared" ref="G18:K18" si="6">$B18*$D$9</f>
        <v>1266.5725559999998</v>
      </c>
      <c r="H18" s="168">
        <f t="shared" si="6"/>
        <v>1266.5725559999998</v>
      </c>
      <c r="I18" s="168">
        <f t="shared" si="6"/>
        <v>1266.5725559999998</v>
      </c>
      <c r="J18" s="168">
        <f t="shared" si="6"/>
        <v>1266.5725559999998</v>
      </c>
      <c r="K18" s="168">
        <f t="shared" si="6"/>
        <v>1266.5725559999998</v>
      </c>
      <c r="L18" s="200">
        <f>$B18*$D$9</f>
        <v>1266.5725559999998</v>
      </c>
      <c r="M18" s="172"/>
      <c r="N18" s="208"/>
      <c r="O18" s="186"/>
    </row>
    <row r="19" spans="1:15">
      <c r="A19" s="169" t="s">
        <v>254</v>
      </c>
      <c r="B19" s="170"/>
      <c r="C19" s="170"/>
      <c r="D19" s="169"/>
      <c r="E19" s="203"/>
      <c r="F19" s="216">
        <f>SUM(F17:F18)</f>
        <v>1918.6425559999998</v>
      </c>
      <c r="G19" s="216">
        <f t="shared" ref="G19:K19" si="7">SUM(G17:G18)</f>
        <v>1918.6425559999998</v>
      </c>
      <c r="H19" s="216">
        <f t="shared" si="7"/>
        <v>1918.6425559999998</v>
      </c>
      <c r="I19" s="216">
        <f t="shared" si="7"/>
        <v>1918.6425559999998</v>
      </c>
      <c r="J19" s="216">
        <f t="shared" si="7"/>
        <v>2552.0225559999999</v>
      </c>
      <c r="K19" s="216">
        <f t="shared" si="7"/>
        <v>3518.4125560000002</v>
      </c>
      <c r="L19" s="231">
        <f>SUM(L17:L18)</f>
        <v>1932.172556</v>
      </c>
      <c r="M19" s="215"/>
      <c r="N19" s="215"/>
      <c r="O19" s="182"/>
    </row>
    <row r="20" spans="1:15">
      <c r="A20" s="169" t="s">
        <v>255</v>
      </c>
      <c r="B20" s="170"/>
      <c r="C20" s="170"/>
      <c r="D20" s="169"/>
      <c r="E20" s="201"/>
      <c r="F20" s="273">
        <v>4.8421052631578941E-3</v>
      </c>
      <c r="G20" s="273">
        <v>4.8421052631578941E-3</v>
      </c>
      <c r="H20" s="274">
        <v>4.8421052631578941E-3</v>
      </c>
      <c r="I20" s="274">
        <v>4.8421052631578941E-3</v>
      </c>
      <c r="J20" s="274">
        <v>4.8421052631578941E-3</v>
      </c>
      <c r="K20" s="274">
        <v>4.8421052631578941E-3</v>
      </c>
      <c r="L20" s="228">
        <v>3.5000000000000001E-3</v>
      </c>
      <c r="M20" s="219"/>
      <c r="N20" s="219"/>
      <c r="O20" s="187"/>
    </row>
    <row r="21" spans="1:15">
      <c r="A21" s="169" t="s">
        <v>256</v>
      </c>
      <c r="B21" s="170"/>
      <c r="C21" s="170"/>
      <c r="D21" s="169"/>
      <c r="E21" s="203"/>
      <c r="F21" s="168">
        <f t="shared" ref="F21:J21" si="8">+F19*F20</f>
        <v>9.2902692185263138</v>
      </c>
      <c r="G21" s="167">
        <f t="shared" si="8"/>
        <v>9.2902692185263138</v>
      </c>
      <c r="H21" s="167">
        <f t="shared" si="8"/>
        <v>9.2902692185263138</v>
      </c>
      <c r="I21" s="167">
        <f t="shared" si="8"/>
        <v>9.2902692185263138</v>
      </c>
      <c r="J21" s="167">
        <f t="shared" si="8"/>
        <v>12.35716185010526</v>
      </c>
      <c r="K21" s="167">
        <f>+K19*K20</f>
        <v>17.03652395536842</v>
      </c>
      <c r="L21" s="200">
        <f t="shared" ref="L21" si="9">+L19*L20</f>
        <v>6.7626039460000005</v>
      </c>
      <c r="M21" s="172"/>
      <c r="N21" s="172"/>
      <c r="O21" s="186"/>
    </row>
    <row r="22" spans="1:15" ht="15.6">
      <c r="A22" s="169"/>
      <c r="B22" s="170"/>
      <c r="C22" s="170"/>
      <c r="D22" s="169"/>
      <c r="E22" s="202"/>
      <c r="F22" s="171"/>
      <c r="G22" s="171"/>
      <c r="H22" s="169"/>
      <c r="I22" s="169"/>
      <c r="J22" s="209"/>
      <c r="K22" s="209"/>
      <c r="L22" s="202"/>
      <c r="M22" s="171"/>
      <c r="N22" s="208"/>
      <c r="O22" s="184"/>
    </row>
    <row r="23" spans="1:15" ht="15.6">
      <c r="A23" s="163" t="s">
        <v>264</v>
      </c>
      <c r="B23" s="164"/>
      <c r="C23" s="164"/>
      <c r="D23" s="209"/>
      <c r="E23" s="229"/>
      <c r="F23" s="270" t="s">
        <v>311</v>
      </c>
      <c r="G23" s="270" t="s">
        <v>311</v>
      </c>
      <c r="H23" s="270" t="s">
        <v>311</v>
      </c>
      <c r="I23" s="270" t="s">
        <v>311</v>
      </c>
      <c r="J23" s="271" t="s">
        <v>312</v>
      </c>
      <c r="K23" s="271" t="s">
        <v>313</v>
      </c>
      <c r="L23" s="229"/>
      <c r="M23" s="208"/>
      <c r="N23" s="208"/>
      <c r="O23" s="210"/>
    </row>
    <row r="24" spans="1:15" ht="15.6">
      <c r="A24" s="163" t="s">
        <v>253</v>
      </c>
      <c r="B24" s="164"/>
      <c r="C24" s="164"/>
      <c r="D24" s="209"/>
      <c r="E24" s="199"/>
      <c r="F24" s="223">
        <v>788.32</v>
      </c>
      <c r="G24" s="223">
        <v>788.32</v>
      </c>
      <c r="H24" s="276">
        <v>788.32</v>
      </c>
      <c r="I24" s="276">
        <v>788.32</v>
      </c>
      <c r="J24" s="223">
        <v>948.82500000000005</v>
      </c>
      <c r="K24" s="223">
        <v>1194.55</v>
      </c>
      <c r="L24" s="199"/>
      <c r="M24" s="223"/>
      <c r="N24" s="208"/>
      <c r="O24" s="185"/>
    </row>
    <row r="25" spans="1:15" ht="15.6">
      <c r="A25" s="163" t="s">
        <v>257</v>
      </c>
      <c r="B25" s="166">
        <v>6.2</v>
      </c>
      <c r="C25" s="166"/>
      <c r="D25" s="167" t="s">
        <v>310</v>
      </c>
      <c r="E25" s="200"/>
      <c r="F25" s="168">
        <f>$B25*$D$9</f>
        <v>1138.0796879999998</v>
      </c>
      <c r="G25" s="168">
        <f t="shared" ref="G25:K25" si="10">$B25*$D$9</f>
        <v>1138.0796879999998</v>
      </c>
      <c r="H25" s="168">
        <f t="shared" si="10"/>
        <v>1138.0796879999998</v>
      </c>
      <c r="I25" s="168">
        <f t="shared" si="10"/>
        <v>1138.0796879999998</v>
      </c>
      <c r="J25" s="168">
        <f t="shared" si="10"/>
        <v>1138.0796879999998</v>
      </c>
      <c r="K25" s="168">
        <f t="shared" si="10"/>
        <v>1138.0796879999998</v>
      </c>
      <c r="L25" s="200"/>
      <c r="M25" s="168"/>
      <c r="N25" s="208"/>
      <c r="O25" s="183"/>
    </row>
    <row r="26" spans="1:15" ht="15.6">
      <c r="A26" s="163" t="s">
        <v>254</v>
      </c>
      <c r="B26" s="164"/>
      <c r="C26" s="164"/>
      <c r="D26" s="209"/>
      <c r="E26" s="200"/>
      <c r="F26" s="216">
        <f>SUM(F24:F25)</f>
        <v>1926.399688</v>
      </c>
      <c r="G26" s="216">
        <f t="shared" ref="G26" si="11">SUM(G24:G25)</f>
        <v>1926.399688</v>
      </c>
      <c r="H26" s="216">
        <f t="shared" ref="H26" si="12">SUM(H24:H25)</f>
        <v>1926.399688</v>
      </c>
      <c r="I26" s="216">
        <f t="shared" ref="I26" si="13">SUM(I24:I25)</f>
        <v>1926.399688</v>
      </c>
      <c r="J26" s="216">
        <f t="shared" ref="J26" si="14">SUM(J24:J25)</f>
        <v>2086.9046879999996</v>
      </c>
      <c r="K26" s="216">
        <f t="shared" ref="K26" si="15">SUM(K24:K25)</f>
        <v>2332.629688</v>
      </c>
      <c r="L26" s="227"/>
      <c r="M26" s="215"/>
      <c r="N26" s="215"/>
      <c r="O26" s="182"/>
    </row>
    <row r="27" spans="1:15" ht="15.6">
      <c r="A27" s="163" t="s">
        <v>255</v>
      </c>
      <c r="B27" s="164"/>
      <c r="C27" s="164"/>
      <c r="D27" s="209"/>
      <c r="E27" s="201"/>
      <c r="F27" s="273">
        <v>5.0000000000000001E-3</v>
      </c>
      <c r="G27" s="273">
        <v>5.0000000000000001E-3</v>
      </c>
      <c r="H27" s="274">
        <v>5.0000000000000001E-3</v>
      </c>
      <c r="I27" s="274">
        <v>5.0000000000000001E-3</v>
      </c>
      <c r="J27" s="274">
        <v>5.0000000000000001E-3</v>
      </c>
      <c r="K27" s="274">
        <v>5.0000000000000001E-3</v>
      </c>
      <c r="L27" s="201"/>
      <c r="M27" s="219"/>
      <c r="N27" s="219"/>
      <c r="O27" s="187"/>
    </row>
    <row r="28" spans="1:15" ht="15.6">
      <c r="A28" s="163" t="s">
        <v>256</v>
      </c>
      <c r="B28" s="164"/>
      <c r="C28" s="164"/>
      <c r="D28" s="209"/>
      <c r="E28" s="200"/>
      <c r="F28" s="168">
        <f t="shared" ref="F28:J28" si="16">+F26*F27</f>
        <v>9.6319984400000003</v>
      </c>
      <c r="G28" s="167">
        <f t="shared" si="16"/>
        <v>9.6319984400000003</v>
      </c>
      <c r="H28" s="167">
        <f t="shared" si="16"/>
        <v>9.6319984400000003</v>
      </c>
      <c r="I28" s="167">
        <f t="shared" si="16"/>
        <v>9.6319984400000003</v>
      </c>
      <c r="J28" s="167">
        <f t="shared" si="16"/>
        <v>10.434523439999998</v>
      </c>
      <c r="K28" s="167">
        <f>+K26*K27</f>
        <v>11.663148440000001</v>
      </c>
      <c r="L28" s="200"/>
      <c r="M28" s="168"/>
      <c r="N28" s="168"/>
      <c r="O28" s="183"/>
    </row>
    <row r="29" spans="1:15" ht="15.6">
      <c r="A29" s="169"/>
      <c r="B29" s="170"/>
      <c r="C29" s="170"/>
      <c r="D29" s="169"/>
      <c r="E29" s="202"/>
      <c r="F29" s="171"/>
      <c r="G29" s="171"/>
      <c r="H29" s="169"/>
      <c r="I29" s="169"/>
      <c r="J29" s="209"/>
      <c r="K29" s="209"/>
      <c r="L29" s="202"/>
      <c r="M29" s="171"/>
      <c r="N29" s="208"/>
      <c r="O29" s="184"/>
    </row>
    <row r="30" spans="1:15" ht="15.6">
      <c r="A30" s="163" t="s">
        <v>265</v>
      </c>
      <c r="B30" s="164"/>
      <c r="C30" s="164"/>
      <c r="D30" s="209"/>
      <c r="E30" s="229"/>
      <c r="F30" s="208"/>
      <c r="G30" s="208"/>
      <c r="H30" s="209"/>
      <c r="I30" s="209"/>
      <c r="J30" s="209"/>
      <c r="K30" s="209"/>
      <c r="L30" s="229"/>
      <c r="M30" s="208"/>
      <c r="N30" s="208"/>
      <c r="O30" s="210"/>
    </row>
    <row r="31" spans="1:15" ht="15.6">
      <c r="A31" s="163" t="s">
        <v>253</v>
      </c>
      <c r="B31" s="164"/>
      <c r="C31" s="164"/>
      <c r="D31" s="209"/>
      <c r="E31" s="199"/>
      <c r="F31" s="223">
        <v>217.13</v>
      </c>
      <c r="G31" s="223">
        <v>217.13</v>
      </c>
      <c r="H31" s="276">
        <v>217.13</v>
      </c>
      <c r="I31" s="276">
        <v>217.13</v>
      </c>
      <c r="J31" s="223">
        <v>217.13</v>
      </c>
      <c r="K31" s="223">
        <v>217.13</v>
      </c>
      <c r="L31" s="199"/>
      <c r="M31" s="223">
        <v>165.19200000000001</v>
      </c>
      <c r="N31" s="276">
        <v>165.19200000000001</v>
      </c>
      <c r="O31" s="185">
        <v>165.19200000000001</v>
      </c>
    </row>
    <row r="32" spans="1:15">
      <c r="A32" s="163" t="s">
        <v>257</v>
      </c>
      <c r="B32" s="166">
        <v>2.2000000000000002</v>
      </c>
      <c r="C32" s="166"/>
      <c r="D32" s="167" t="s">
        <v>310</v>
      </c>
      <c r="E32" s="200"/>
      <c r="F32" s="168">
        <f>$B32*$D$9</f>
        <v>403.83472799999998</v>
      </c>
      <c r="G32" s="168">
        <f t="shared" ref="G32:K32" si="17">$B32*$D$9</f>
        <v>403.83472799999998</v>
      </c>
      <c r="H32" s="168">
        <f t="shared" si="17"/>
        <v>403.83472799999998</v>
      </c>
      <c r="I32" s="168">
        <f t="shared" si="17"/>
        <v>403.83472799999998</v>
      </c>
      <c r="J32" s="168">
        <f t="shared" si="17"/>
        <v>403.83472799999998</v>
      </c>
      <c r="K32" s="168">
        <f t="shared" si="17"/>
        <v>403.83472799999998</v>
      </c>
      <c r="L32" s="200"/>
      <c r="M32" s="168">
        <f>$B32*$D$9</f>
        <v>403.83472799999998</v>
      </c>
      <c r="N32" s="168">
        <f t="shared" ref="N32" si="18">$B32*$D$9</f>
        <v>403.83472799999998</v>
      </c>
      <c r="O32" s="183">
        <f t="shared" ref="O32" si="19">$B32*$D$9</f>
        <v>403.83472799999998</v>
      </c>
    </row>
    <row r="33" spans="1:15" ht="15.6">
      <c r="A33" s="163" t="s">
        <v>254</v>
      </c>
      <c r="B33" s="164"/>
      <c r="C33" s="164"/>
      <c r="D33" s="209"/>
      <c r="E33" s="200"/>
      <c r="F33" s="216">
        <f>SUM(F31:F32)</f>
        <v>620.96472799999992</v>
      </c>
      <c r="G33" s="216">
        <f t="shared" ref="G33" si="20">SUM(G31:G32)</f>
        <v>620.96472799999992</v>
      </c>
      <c r="H33" s="216">
        <f t="shared" ref="H33" si="21">SUM(H31:H32)</f>
        <v>620.96472799999992</v>
      </c>
      <c r="I33" s="216">
        <f t="shared" ref="I33" si="22">SUM(I31:I32)</f>
        <v>620.96472799999992</v>
      </c>
      <c r="J33" s="216">
        <f t="shared" ref="J33" si="23">SUM(J31:J32)</f>
        <v>620.96472799999992</v>
      </c>
      <c r="K33" s="216">
        <f t="shared" ref="K33" si="24">SUM(K31:K32)</f>
        <v>620.96472799999992</v>
      </c>
      <c r="L33" s="227"/>
      <c r="M33" s="216">
        <f>SUM(M31:M32)</f>
        <v>569.02672800000005</v>
      </c>
      <c r="N33" s="216">
        <f t="shared" ref="N33" si="25">SUM(N31:N32)</f>
        <v>569.02672800000005</v>
      </c>
      <c r="O33" s="218">
        <f t="shared" ref="O33" si="26">SUM(O31:O32)</f>
        <v>569.02672800000005</v>
      </c>
    </row>
    <row r="34" spans="1:15" ht="15.6">
      <c r="A34" s="163" t="s">
        <v>255</v>
      </c>
      <c r="B34" s="164"/>
      <c r="C34" s="164"/>
      <c r="D34" s="209"/>
      <c r="E34" s="201"/>
      <c r="F34" s="273">
        <v>1.2999999999999999E-2</v>
      </c>
      <c r="G34" s="273">
        <v>1.2999999999999999E-2</v>
      </c>
      <c r="H34" s="274">
        <v>1.2999999999999999E-2</v>
      </c>
      <c r="I34" s="274">
        <v>1.2999999999999999E-2</v>
      </c>
      <c r="J34" s="274">
        <v>1.2999999999999999E-2</v>
      </c>
      <c r="K34" s="274">
        <v>1.2999999999999999E-2</v>
      </c>
      <c r="L34" s="201"/>
      <c r="M34" s="273">
        <v>6.0000000000000001E-3</v>
      </c>
      <c r="N34" s="274">
        <v>6.0000000000000001E-3</v>
      </c>
      <c r="O34" s="275">
        <v>6.0000000000000001E-3</v>
      </c>
    </row>
    <row r="35" spans="1:15" ht="15.6">
      <c r="A35" s="163" t="s">
        <v>256</v>
      </c>
      <c r="B35" s="164"/>
      <c r="C35" s="164"/>
      <c r="D35" s="209"/>
      <c r="E35" s="200"/>
      <c r="F35" s="168">
        <f t="shared" ref="F35:J35" si="27">+F33*F34</f>
        <v>8.0725414639999986</v>
      </c>
      <c r="G35" s="167">
        <f t="shared" si="27"/>
        <v>8.0725414639999986</v>
      </c>
      <c r="H35" s="167">
        <f t="shared" si="27"/>
        <v>8.0725414639999986</v>
      </c>
      <c r="I35" s="167">
        <f t="shared" si="27"/>
        <v>8.0725414639999986</v>
      </c>
      <c r="J35" s="167">
        <f t="shared" si="27"/>
        <v>8.0725414639999986</v>
      </c>
      <c r="K35" s="167">
        <f>+K33*K34</f>
        <v>8.0725414639999986</v>
      </c>
      <c r="L35" s="200"/>
      <c r="M35" s="168">
        <f t="shared" ref="M35:N35" si="28">+M33*M34</f>
        <v>3.4141603680000006</v>
      </c>
      <c r="N35" s="167">
        <f t="shared" si="28"/>
        <v>3.4141603680000006</v>
      </c>
      <c r="O35" s="183">
        <f>+O33*O34</f>
        <v>3.4141603680000006</v>
      </c>
    </row>
    <row r="36" spans="1:15" ht="15.6">
      <c r="A36" s="165"/>
      <c r="B36" s="164"/>
      <c r="C36" s="164"/>
      <c r="D36" s="209"/>
      <c r="E36" s="229"/>
      <c r="F36" s="208"/>
      <c r="G36" s="208"/>
      <c r="H36" s="209"/>
      <c r="I36" s="209"/>
      <c r="J36" s="209"/>
      <c r="K36" s="209"/>
      <c r="L36" s="229"/>
      <c r="M36" s="208"/>
      <c r="N36" s="208"/>
      <c r="O36" s="210"/>
    </row>
    <row r="37" spans="1:15" ht="15.6">
      <c r="A37" s="165"/>
      <c r="B37" s="164"/>
      <c r="C37" s="164"/>
      <c r="D37" s="209"/>
      <c r="E37" s="229"/>
      <c r="F37" s="208"/>
      <c r="G37" s="208"/>
      <c r="H37" s="209"/>
      <c r="I37" s="209"/>
      <c r="J37" s="209"/>
      <c r="K37" s="209"/>
      <c r="L37" s="229"/>
      <c r="M37" s="208"/>
      <c r="N37" s="208"/>
      <c r="O37" s="210"/>
    </row>
    <row r="38" spans="1:15">
      <c r="A38" s="139" t="s">
        <v>258</v>
      </c>
      <c r="B38" s="155"/>
      <c r="C38" s="155"/>
      <c r="D38" s="139"/>
      <c r="E38" s="204"/>
      <c r="F38" s="139"/>
      <c r="G38" s="139"/>
      <c r="H38" s="139"/>
      <c r="I38" s="139"/>
      <c r="J38" s="139"/>
      <c r="K38" s="139"/>
      <c r="L38" s="204"/>
      <c r="M38" s="181"/>
      <c r="N38" s="181"/>
      <c r="O38" s="188"/>
    </row>
    <row r="39" spans="1:15">
      <c r="A39" s="139" t="s">
        <v>253</v>
      </c>
      <c r="B39" s="155"/>
      <c r="C39" s="155"/>
      <c r="D39" s="139"/>
      <c r="E39" s="205"/>
      <c r="F39" s="223">
        <v>20.92</v>
      </c>
      <c r="G39" s="223">
        <v>20.92</v>
      </c>
      <c r="H39" s="276">
        <v>20.92</v>
      </c>
      <c r="I39" s="276">
        <v>20.92</v>
      </c>
      <c r="J39" s="223">
        <v>20.92</v>
      </c>
      <c r="K39" s="223">
        <v>20.92</v>
      </c>
      <c r="L39" s="199">
        <v>20.92</v>
      </c>
      <c r="M39" s="223">
        <v>20.92</v>
      </c>
      <c r="N39" s="223">
        <v>20.92</v>
      </c>
      <c r="O39" s="185">
        <v>20.92</v>
      </c>
    </row>
    <row r="40" spans="1:15">
      <c r="A40" s="139" t="s">
        <v>257</v>
      </c>
      <c r="B40" s="154">
        <v>0.7</v>
      </c>
      <c r="C40" s="154"/>
      <c r="D40" s="217" t="s">
        <v>315</v>
      </c>
      <c r="E40" s="206"/>
      <c r="F40" s="168">
        <f>$B40*$D$9</f>
        <v>128.49286799999996</v>
      </c>
      <c r="G40" s="168">
        <f t="shared" ref="G40:N40" si="29">$B40*$D$9</f>
        <v>128.49286799999996</v>
      </c>
      <c r="H40" s="168">
        <f t="shared" si="29"/>
        <v>128.49286799999996</v>
      </c>
      <c r="I40" s="168">
        <f t="shared" si="29"/>
        <v>128.49286799999996</v>
      </c>
      <c r="J40" s="168">
        <f t="shared" si="29"/>
        <v>128.49286799999996</v>
      </c>
      <c r="K40" s="168">
        <f t="shared" si="29"/>
        <v>128.49286799999996</v>
      </c>
      <c r="L40" s="200">
        <f t="shared" si="29"/>
        <v>128.49286799999996</v>
      </c>
      <c r="M40" s="168">
        <f t="shared" si="29"/>
        <v>128.49286799999996</v>
      </c>
      <c r="N40" s="168">
        <f t="shared" si="29"/>
        <v>128.49286799999996</v>
      </c>
      <c r="O40" s="183">
        <f t="shared" ref="O40" si="30">$B40*$D$9</f>
        <v>128.49286799999996</v>
      </c>
    </row>
    <row r="41" spans="1:15">
      <c r="A41" s="139" t="s">
        <v>254</v>
      </c>
      <c r="B41" s="155"/>
      <c r="C41" s="155"/>
      <c r="D41" s="153"/>
      <c r="E41" s="206"/>
      <c r="F41" s="216">
        <f>SUM(F39:F40)</f>
        <v>149.41286799999995</v>
      </c>
      <c r="G41" s="216">
        <f t="shared" ref="G41" si="31">SUM(G39:G40)</f>
        <v>149.41286799999995</v>
      </c>
      <c r="H41" s="216">
        <f t="shared" ref="H41" si="32">SUM(H39:H40)</f>
        <v>149.41286799999995</v>
      </c>
      <c r="I41" s="216">
        <f t="shared" ref="I41" si="33">SUM(I39:I40)</f>
        <v>149.41286799999995</v>
      </c>
      <c r="J41" s="216">
        <f t="shared" ref="J41:N41" si="34">SUM(J39:J40)</f>
        <v>149.41286799999995</v>
      </c>
      <c r="K41" s="216">
        <f t="shared" ref="K41" si="35">SUM(K39:K40)</f>
        <v>149.41286799999995</v>
      </c>
      <c r="L41" s="231">
        <f t="shared" si="34"/>
        <v>149.41286799999995</v>
      </c>
      <c r="M41" s="216">
        <f t="shared" si="34"/>
        <v>149.41286799999995</v>
      </c>
      <c r="N41" s="216">
        <f t="shared" si="34"/>
        <v>149.41286799999995</v>
      </c>
      <c r="O41" s="218">
        <f t="shared" ref="O41" si="36">SUM(O39:O40)</f>
        <v>149.41286799999995</v>
      </c>
    </row>
    <row r="42" spans="1:15">
      <c r="A42" s="139" t="s">
        <v>255</v>
      </c>
      <c r="B42" s="155"/>
      <c r="C42" s="155"/>
      <c r="D42" s="153"/>
      <c r="E42" s="207"/>
      <c r="F42" s="273">
        <v>0.05</v>
      </c>
      <c r="G42" s="273">
        <v>0.05</v>
      </c>
      <c r="H42" s="274">
        <v>0.05</v>
      </c>
      <c r="I42" s="274">
        <v>0.05</v>
      </c>
      <c r="J42" s="274">
        <v>0.05</v>
      </c>
      <c r="K42" s="274">
        <v>0.05</v>
      </c>
      <c r="L42" s="228">
        <v>0.05</v>
      </c>
      <c r="M42" s="273">
        <v>0.05</v>
      </c>
      <c r="N42" s="274">
        <v>0.05</v>
      </c>
      <c r="O42" s="275">
        <v>0.05</v>
      </c>
    </row>
    <row r="43" spans="1:15">
      <c r="A43" s="139" t="s">
        <v>256</v>
      </c>
      <c r="B43" s="155"/>
      <c r="C43" s="155"/>
      <c r="D43" s="153"/>
      <c r="E43" s="206"/>
      <c r="F43" s="168">
        <f t="shared" ref="F43:J43" si="37">F41*F42</f>
        <v>7.4706433999999975</v>
      </c>
      <c r="G43" s="167">
        <f t="shared" si="37"/>
        <v>7.4706433999999975</v>
      </c>
      <c r="H43" s="167">
        <f t="shared" si="37"/>
        <v>7.4706433999999975</v>
      </c>
      <c r="I43" s="167">
        <f t="shared" si="37"/>
        <v>7.4706433999999975</v>
      </c>
      <c r="J43" s="167">
        <f t="shared" si="37"/>
        <v>7.4706433999999975</v>
      </c>
      <c r="K43" s="167">
        <f>K41*K42</f>
        <v>7.4706433999999975</v>
      </c>
      <c r="L43" s="200">
        <f t="shared" ref="L43" si="38">L41*L42</f>
        <v>7.4706433999999975</v>
      </c>
      <c r="M43" s="168">
        <f t="shared" ref="M43:N43" si="39">M41*M42</f>
        <v>7.4706433999999975</v>
      </c>
      <c r="N43" s="167">
        <f t="shared" si="39"/>
        <v>7.4706433999999975</v>
      </c>
      <c r="O43" s="183">
        <f t="shared" ref="O43" si="40">O41*O42</f>
        <v>7.4706433999999975</v>
      </c>
    </row>
    <row r="44" spans="1:15">
      <c r="A44" s="139"/>
      <c r="B44" s="155"/>
      <c r="C44" s="155"/>
      <c r="D44" s="153"/>
      <c r="E44" s="204"/>
      <c r="F44" s="139"/>
      <c r="G44" s="139"/>
      <c r="H44" s="139"/>
      <c r="I44" s="139"/>
      <c r="J44" s="139"/>
      <c r="K44" s="139"/>
      <c r="L44" s="204"/>
      <c r="M44" s="181"/>
      <c r="N44" s="181"/>
      <c r="O44" s="188"/>
    </row>
    <row r="45" spans="1:15">
      <c r="A45" s="139" t="s">
        <v>259</v>
      </c>
      <c r="B45" s="155"/>
      <c r="C45" s="155"/>
      <c r="D45" s="153"/>
      <c r="E45" s="204"/>
      <c r="F45" s="139"/>
      <c r="G45" s="139"/>
      <c r="H45" s="139"/>
      <c r="I45" s="139"/>
      <c r="J45" s="139"/>
      <c r="K45" s="139"/>
      <c r="L45" s="204"/>
      <c r="M45" s="181"/>
      <c r="N45" s="181"/>
      <c r="O45" s="188"/>
    </row>
    <row r="46" spans="1:15">
      <c r="A46" s="139" t="s">
        <v>253</v>
      </c>
      <c r="B46" s="155"/>
      <c r="C46" s="155"/>
      <c r="D46" s="153"/>
      <c r="E46" s="205"/>
      <c r="F46" s="223">
        <v>220.48</v>
      </c>
      <c r="G46" s="223">
        <v>286.14234999999996</v>
      </c>
      <c r="H46" s="276">
        <v>290.61144999999999</v>
      </c>
      <c r="I46" s="276">
        <v>300.08</v>
      </c>
      <c r="J46" s="223">
        <v>358.12074999999999</v>
      </c>
      <c r="K46" s="223">
        <v>598.33000000000004</v>
      </c>
      <c r="L46" s="199">
        <v>900</v>
      </c>
      <c r="M46" s="223">
        <f>125*'Area Light Composition'!J12+202*(1-'Area Light Composition'!J12)</f>
        <v>148.77741511911461</v>
      </c>
      <c r="N46" s="223">
        <v>244</v>
      </c>
      <c r="O46" s="185">
        <v>395</v>
      </c>
    </row>
    <row r="47" spans="1:15">
      <c r="A47" s="139" t="s">
        <v>257</v>
      </c>
      <c r="B47" s="154">
        <v>1.2</v>
      </c>
      <c r="C47" s="154"/>
      <c r="D47" s="217" t="s">
        <v>315</v>
      </c>
      <c r="E47" s="206"/>
      <c r="F47" s="168">
        <f>$B47*$D$9</f>
        <v>220.27348799999996</v>
      </c>
      <c r="G47" s="168">
        <f t="shared" ref="G47:O47" si="41">$B47*$D$9</f>
        <v>220.27348799999996</v>
      </c>
      <c r="H47" s="168">
        <f t="shared" si="41"/>
        <v>220.27348799999996</v>
      </c>
      <c r="I47" s="168">
        <f t="shared" si="41"/>
        <v>220.27348799999996</v>
      </c>
      <c r="J47" s="168">
        <f t="shared" si="41"/>
        <v>220.27348799999996</v>
      </c>
      <c r="K47" s="168">
        <f t="shared" si="41"/>
        <v>220.27348799999996</v>
      </c>
      <c r="L47" s="200">
        <f t="shared" si="41"/>
        <v>220.27348799999996</v>
      </c>
      <c r="M47" s="168">
        <f t="shared" si="41"/>
        <v>220.27348799999996</v>
      </c>
      <c r="N47" s="168">
        <f t="shared" si="41"/>
        <v>220.27348799999996</v>
      </c>
      <c r="O47" s="183">
        <f t="shared" si="41"/>
        <v>220.27348799999996</v>
      </c>
    </row>
    <row r="48" spans="1:15">
      <c r="A48" s="139" t="s">
        <v>254</v>
      </c>
      <c r="B48" s="152"/>
      <c r="C48" s="152"/>
      <c r="D48" s="139"/>
      <c r="E48" s="206"/>
      <c r="F48" s="216">
        <f>SUM(F46:F47)</f>
        <v>440.75348799999995</v>
      </c>
      <c r="G48" s="216">
        <f t="shared" ref="G48" si="42">SUM(G46:G47)</f>
        <v>506.41583799999989</v>
      </c>
      <c r="H48" s="216">
        <f t="shared" ref="H48" si="43">SUM(H46:H47)</f>
        <v>510.88493799999992</v>
      </c>
      <c r="I48" s="216">
        <f t="shared" ref="I48" si="44">SUM(I46:I47)</f>
        <v>520.35348799999997</v>
      </c>
      <c r="J48" s="216">
        <f t="shared" ref="J48" si="45">SUM(J46:J47)</f>
        <v>578.39423799999997</v>
      </c>
      <c r="K48" s="216">
        <f t="shared" ref="K48" si="46">SUM(K46:K47)</f>
        <v>818.60348799999997</v>
      </c>
      <c r="L48" s="231">
        <f t="shared" ref="L48:N48" si="47">SUM(L46:L47)</f>
        <v>1120.273488</v>
      </c>
      <c r="M48" s="216">
        <f t="shared" si="47"/>
        <v>369.05090311911454</v>
      </c>
      <c r="N48" s="216">
        <f t="shared" si="47"/>
        <v>464.27348799999993</v>
      </c>
      <c r="O48" s="218">
        <f t="shared" ref="O48" si="48">SUM(O46:O47)</f>
        <v>615.27348799999993</v>
      </c>
    </row>
    <row r="49" spans="1:15">
      <c r="A49" s="139" t="s">
        <v>255</v>
      </c>
      <c r="B49" s="152"/>
      <c r="C49" s="152"/>
      <c r="D49" s="139"/>
      <c r="E49" s="207"/>
      <c r="F49" s="273">
        <v>0.05</v>
      </c>
      <c r="G49" s="273">
        <v>0.05</v>
      </c>
      <c r="H49" s="274">
        <v>0.05</v>
      </c>
      <c r="I49" s="274">
        <v>0.05</v>
      </c>
      <c r="J49" s="274">
        <v>0.04</v>
      </c>
      <c r="K49" s="274">
        <v>0.04</v>
      </c>
      <c r="L49" s="228">
        <v>0.04</v>
      </c>
      <c r="M49" s="273">
        <v>0.04</v>
      </c>
      <c r="N49" s="274">
        <v>0.04</v>
      </c>
      <c r="O49" s="275">
        <v>0.04</v>
      </c>
    </row>
    <row r="50" spans="1:15">
      <c r="A50" s="139" t="s">
        <v>256</v>
      </c>
      <c r="B50" s="152"/>
      <c r="C50" s="152"/>
      <c r="D50" s="139"/>
      <c r="E50" s="206"/>
      <c r="F50" s="168">
        <f t="shared" ref="F50:J50" si="49">F48*F49</f>
        <v>22.0376744</v>
      </c>
      <c r="G50" s="167">
        <f t="shared" si="49"/>
        <v>25.320791899999996</v>
      </c>
      <c r="H50" s="167">
        <f t="shared" si="49"/>
        <v>25.544246899999997</v>
      </c>
      <c r="I50" s="167">
        <f t="shared" si="49"/>
        <v>26.017674400000001</v>
      </c>
      <c r="J50" s="167">
        <f t="shared" si="49"/>
        <v>23.13576952</v>
      </c>
      <c r="K50" s="167">
        <f>K48*K49</f>
        <v>32.744139519999997</v>
      </c>
      <c r="L50" s="200">
        <f t="shared" ref="L50:O50" si="50">L48*L49</f>
        <v>44.810939520000005</v>
      </c>
      <c r="M50" s="168">
        <f t="shared" si="50"/>
        <v>14.762036124764581</v>
      </c>
      <c r="N50" s="167">
        <f t="shared" si="50"/>
        <v>18.570939519999996</v>
      </c>
      <c r="O50" s="183">
        <f t="shared" si="50"/>
        <v>24.610939519999999</v>
      </c>
    </row>
    <row r="51" spans="1:15">
      <c r="A51" s="139"/>
      <c r="B51" s="152"/>
      <c r="C51" s="152"/>
      <c r="D51" s="139"/>
      <c r="E51" s="204"/>
      <c r="F51" s="139"/>
      <c r="G51" s="139"/>
      <c r="H51" s="139"/>
      <c r="I51" s="139"/>
      <c r="J51" s="139"/>
      <c r="K51" s="139"/>
      <c r="L51" s="204"/>
      <c r="M51" s="181"/>
      <c r="N51" s="181"/>
      <c r="O51" s="188"/>
    </row>
    <row r="52" spans="1:15">
      <c r="A52" s="139" t="s">
        <v>261</v>
      </c>
      <c r="B52" s="152"/>
      <c r="C52" s="152"/>
      <c r="D52" s="156"/>
      <c r="E52" s="204"/>
      <c r="F52" s="174">
        <f>F14+F21+F28+F35+F43+F50</f>
        <v>77.83271684892631</v>
      </c>
      <c r="G52" s="174">
        <f t="shared" ref="G52:J52" si="51">G14+G21+G28+G35+G43+G50</f>
        <v>81.115834348926313</v>
      </c>
      <c r="H52" s="174">
        <f t="shared" si="51"/>
        <v>81.339289348926314</v>
      </c>
      <c r="I52" s="174">
        <f t="shared" si="51"/>
        <v>81.812716848926314</v>
      </c>
      <c r="J52" s="174">
        <f t="shared" si="51"/>
        <v>83.806773600505252</v>
      </c>
      <c r="K52" s="174">
        <f>K14+K21+K28+K35+K43+K50</f>
        <v>100.7587467057684</v>
      </c>
      <c r="L52" s="232">
        <f t="shared" ref="L52" si="52">L14+L21+L28+L35+L43+L50</f>
        <v>59.044186866000004</v>
      </c>
      <c r="M52" s="174">
        <f t="shared" ref="M52:N52" si="53">M14+M21+M28+M35+M43+M50</f>
        <v>40.88226126876458</v>
      </c>
      <c r="N52" s="174">
        <f t="shared" si="53"/>
        <v>44.691164663999992</v>
      </c>
      <c r="O52" s="189">
        <f t="shared" ref="O52" si="54">O14+O21+O28+O35+O43+O50</f>
        <v>51.450124663999993</v>
      </c>
    </row>
    <row r="53" spans="1:15">
      <c r="B53" s="44"/>
      <c r="C53" s="44"/>
      <c r="D53" s="44"/>
      <c r="E53" s="277"/>
      <c r="F53" s="44"/>
      <c r="G53" s="44"/>
      <c r="H53" s="44"/>
      <c r="I53" s="44"/>
      <c r="J53" s="44"/>
      <c r="K53" s="44"/>
      <c r="L53" s="277"/>
      <c r="M53" s="55"/>
      <c r="N53" s="55"/>
      <c r="O53" s="268"/>
    </row>
    <row r="54" spans="1:15">
      <c r="A54" s="139" t="s">
        <v>266</v>
      </c>
      <c r="B54" s="44"/>
      <c r="C54" s="44"/>
      <c r="D54" s="44"/>
      <c r="E54" s="278"/>
      <c r="F54" s="279">
        <f>F52/12</f>
        <v>6.4860597374105255</v>
      </c>
      <c r="G54" s="279">
        <f t="shared" ref="G54:J54" si="55">G52/12</f>
        <v>6.7596528624105261</v>
      </c>
      <c r="H54" s="279">
        <f t="shared" si="55"/>
        <v>6.7782741124105259</v>
      </c>
      <c r="I54" s="279">
        <f t="shared" si="55"/>
        <v>6.8177264040771925</v>
      </c>
      <c r="J54" s="279">
        <f t="shared" si="55"/>
        <v>6.9838978000421044</v>
      </c>
      <c r="K54" s="279">
        <f>K52/12</f>
        <v>8.3965622254807002</v>
      </c>
      <c r="L54" s="280">
        <f t="shared" ref="L54" si="56">L52/12</f>
        <v>4.9203489055</v>
      </c>
      <c r="M54" s="279">
        <f t="shared" ref="M54:N54" si="57">M52/12</f>
        <v>3.4068551057303815</v>
      </c>
      <c r="N54" s="279">
        <f t="shared" si="57"/>
        <v>3.7242637219999994</v>
      </c>
      <c r="O54" s="281">
        <f t="shared" ref="O54" si="58">O52/12</f>
        <v>4.2875103886666661</v>
      </c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60" zoomScaleNormal="100" workbookViewId="0">
      <selection activeCell="K59" sqref="K59"/>
    </sheetView>
  </sheetViews>
  <sheetFormatPr defaultRowHeight="14.4"/>
  <cols>
    <col min="1" max="1" width="10.44140625" bestFit="1" customWidth="1"/>
    <col min="2" max="2" width="19.6640625" bestFit="1" customWidth="1"/>
    <col min="3" max="3" width="14.109375" bestFit="1" customWidth="1"/>
    <col min="4" max="4" width="13.88671875" customWidth="1"/>
    <col min="6" max="6" width="56.109375" bestFit="1" customWidth="1"/>
  </cols>
  <sheetData>
    <row r="1" spans="1:6">
      <c r="A1" s="2" t="s">
        <v>316</v>
      </c>
      <c r="B1" s="3"/>
      <c r="C1" s="3"/>
      <c r="D1" s="3"/>
      <c r="E1" s="3"/>
      <c r="F1" s="3"/>
    </row>
    <row r="3" spans="1:6" ht="28.8">
      <c r="A3" s="35" t="s">
        <v>144</v>
      </c>
      <c r="B3" s="36" t="s">
        <v>145</v>
      </c>
      <c r="C3" s="36" t="s">
        <v>146</v>
      </c>
      <c r="D3" s="36" t="s">
        <v>153</v>
      </c>
    </row>
    <row r="4" spans="1:6">
      <c r="A4" s="35">
        <v>1</v>
      </c>
      <c r="B4" s="37">
        <v>2700</v>
      </c>
      <c r="C4" s="38" t="s">
        <v>147</v>
      </c>
      <c r="D4" s="37">
        <v>100</v>
      </c>
      <c r="F4" s="4" t="s">
        <v>62</v>
      </c>
    </row>
    <row r="5" spans="1:6">
      <c r="A5" s="35">
        <v>2</v>
      </c>
      <c r="B5" s="37">
        <v>4000</v>
      </c>
      <c r="C5" s="38" t="s">
        <v>148</v>
      </c>
      <c r="D5" s="37">
        <v>183</v>
      </c>
      <c r="F5" s="4" t="s">
        <v>63</v>
      </c>
    </row>
    <row r="6" spans="1:6">
      <c r="A6" s="35">
        <v>3</v>
      </c>
      <c r="B6" s="37">
        <v>6200</v>
      </c>
      <c r="C6" s="38" t="s">
        <v>149</v>
      </c>
      <c r="D6" s="37">
        <v>296</v>
      </c>
      <c r="F6" s="4" t="s">
        <v>64</v>
      </c>
    </row>
    <row r="7" spans="1:6">
      <c r="A7" s="35">
        <v>4</v>
      </c>
      <c r="B7" s="37">
        <v>9000</v>
      </c>
      <c r="C7" s="38" t="s">
        <v>150</v>
      </c>
      <c r="D7" s="37">
        <v>413</v>
      </c>
      <c r="F7" s="4" t="s">
        <v>65</v>
      </c>
    </row>
    <row r="8" spans="1:6">
      <c r="A8" s="35">
        <v>5</v>
      </c>
      <c r="B8" s="37">
        <v>13000</v>
      </c>
      <c r="C8" s="38" t="s">
        <v>151</v>
      </c>
      <c r="D8" s="37">
        <v>525</v>
      </c>
      <c r="F8" s="4" t="s">
        <v>66</v>
      </c>
    </row>
    <row r="9" spans="1:6">
      <c r="A9" s="35">
        <v>6</v>
      </c>
      <c r="B9" s="37">
        <v>16800</v>
      </c>
      <c r="C9" s="38" t="s">
        <v>152</v>
      </c>
      <c r="D9" s="37">
        <v>688</v>
      </c>
      <c r="F9" s="4" t="s">
        <v>67</v>
      </c>
    </row>
    <row r="11" spans="1:6">
      <c r="A11" s="1" t="s">
        <v>154</v>
      </c>
    </row>
    <row r="13" spans="1:6" ht="28.8">
      <c r="A13" s="35" t="s">
        <v>144</v>
      </c>
      <c r="B13" s="36" t="s">
        <v>145</v>
      </c>
      <c r="C13" s="36" t="s">
        <v>146</v>
      </c>
      <c r="D13" s="36" t="s">
        <v>153</v>
      </c>
    </row>
    <row r="14" spans="1:6">
      <c r="A14" s="35">
        <v>1</v>
      </c>
      <c r="B14" s="37">
        <v>4000</v>
      </c>
      <c r="C14" s="214" t="s">
        <v>307</v>
      </c>
      <c r="D14" s="37">
        <f>ROUND(242*'Area Light Composition'!$J$12+183*(1-'Area Light Composition'!$J$12),0)</f>
        <v>224</v>
      </c>
      <c r="F14" s="4" t="s">
        <v>295</v>
      </c>
    </row>
    <row r="15" spans="1:6">
      <c r="A15" s="35">
        <v>2</v>
      </c>
      <c r="B15" s="37">
        <v>9000</v>
      </c>
      <c r="C15" s="214" t="s">
        <v>308</v>
      </c>
      <c r="D15" s="37">
        <v>413</v>
      </c>
      <c r="F15" s="4" t="s">
        <v>296</v>
      </c>
    </row>
    <row r="16" spans="1:6">
      <c r="A16" s="35">
        <v>3</v>
      </c>
      <c r="B16" s="37">
        <v>16800</v>
      </c>
      <c r="C16" s="214" t="s">
        <v>309</v>
      </c>
      <c r="D16" s="37">
        <v>688</v>
      </c>
      <c r="F16" s="4" t="s">
        <v>297</v>
      </c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view="pageBreakPreview" zoomScale="85" zoomScaleNormal="100" zoomScaleSheetLayoutView="85" workbookViewId="0">
      <pane xSplit="1" ySplit="9" topLeftCell="L10" activePane="bottomRight" state="frozen"/>
      <selection pane="topRight" activeCell="B1" sqref="B1"/>
      <selection pane="bottomLeft" activeCell="A8" sqref="A8"/>
      <selection pane="bottomRight"/>
    </sheetView>
  </sheetViews>
  <sheetFormatPr defaultRowHeight="14.4"/>
  <cols>
    <col min="1" max="1" width="70" customWidth="1"/>
    <col min="2" max="2" width="13.33203125" bestFit="1" customWidth="1"/>
    <col min="3" max="3" width="9.5546875" bestFit="1" customWidth="1"/>
    <col min="4" max="4" width="16.5546875" bestFit="1" customWidth="1"/>
    <col min="5" max="5" width="9" bestFit="1" customWidth="1"/>
    <col min="6" max="6" width="8.44140625" bestFit="1" customWidth="1"/>
    <col min="7" max="7" width="9" bestFit="1" customWidth="1"/>
    <col min="8" max="8" width="19.109375" customWidth="1"/>
    <col min="9" max="9" width="17.6640625" bestFit="1" customWidth="1"/>
    <col min="10" max="10" width="11.44140625" bestFit="1" customWidth="1"/>
    <col min="11" max="11" width="22" bestFit="1" customWidth="1"/>
    <col min="12" max="12" width="19.6640625" bestFit="1" customWidth="1"/>
    <col min="13" max="13" width="15.44140625" bestFit="1" customWidth="1"/>
    <col min="14" max="14" width="31" bestFit="1" customWidth="1"/>
    <col min="15" max="15" width="13.44140625" customWidth="1"/>
    <col min="16" max="16" width="14.6640625" customWidth="1"/>
    <col min="17" max="17" width="11.5546875" bestFit="1" customWidth="1"/>
  </cols>
  <sheetData>
    <row r="1" spans="1:17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>
      <c r="A3" s="2" t="s">
        <v>99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>
      <c r="A4" s="2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>
      <c r="A5" s="2" t="s">
        <v>2</v>
      </c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7">
      <c r="A7" s="24"/>
      <c r="B7" s="16"/>
      <c r="C7" s="17"/>
      <c r="D7" s="17"/>
      <c r="E7" s="13" t="s">
        <v>87</v>
      </c>
      <c r="F7" s="14"/>
      <c r="G7" s="14"/>
      <c r="H7" s="15"/>
      <c r="I7" s="13" t="s">
        <v>88</v>
      </c>
      <c r="J7" s="14"/>
      <c r="K7" s="15"/>
      <c r="L7" s="13" t="s">
        <v>90</v>
      </c>
      <c r="M7" s="14"/>
      <c r="N7" s="15"/>
      <c r="O7" s="29" t="s">
        <v>97</v>
      </c>
      <c r="P7" s="29" t="s">
        <v>243</v>
      </c>
    </row>
    <row r="8" spans="1:17">
      <c r="A8" s="25"/>
      <c r="B8" s="11" t="s">
        <v>81</v>
      </c>
      <c r="C8" s="18" t="s">
        <v>83</v>
      </c>
      <c r="D8" s="18" t="s">
        <v>89</v>
      </c>
      <c r="E8" s="11" t="s">
        <v>237</v>
      </c>
      <c r="F8" s="18" t="s">
        <v>238</v>
      </c>
      <c r="G8" s="18" t="s">
        <v>239</v>
      </c>
      <c r="H8" s="12" t="s">
        <v>85</v>
      </c>
      <c r="I8" s="11" t="s">
        <v>240</v>
      </c>
      <c r="J8" s="18" t="s">
        <v>143</v>
      </c>
      <c r="K8" s="12" t="s">
        <v>241</v>
      </c>
      <c r="L8" s="11" t="s">
        <v>91</v>
      </c>
      <c r="M8" s="18" t="s">
        <v>93</v>
      </c>
      <c r="N8" s="12" t="s">
        <v>242</v>
      </c>
      <c r="O8" s="27" t="s">
        <v>98</v>
      </c>
      <c r="P8" s="27" t="s">
        <v>244</v>
      </c>
    </row>
    <row r="9" spans="1:17">
      <c r="A9" s="26" t="s">
        <v>4</v>
      </c>
      <c r="B9" s="19" t="s">
        <v>82</v>
      </c>
      <c r="C9" s="20" t="s">
        <v>84</v>
      </c>
      <c r="D9" s="20" t="s">
        <v>58</v>
      </c>
      <c r="E9" s="21" t="s">
        <v>94</v>
      </c>
      <c r="F9" s="21" t="s">
        <v>94</v>
      </c>
      <c r="G9" s="21" t="s">
        <v>94</v>
      </c>
      <c r="H9" s="22" t="s">
        <v>86</v>
      </c>
      <c r="I9" s="21" t="s">
        <v>100</v>
      </c>
      <c r="J9" s="21" t="s">
        <v>100</v>
      </c>
      <c r="K9" s="22" t="s">
        <v>86</v>
      </c>
      <c r="L9" s="21" t="s">
        <v>92</v>
      </c>
      <c r="M9" s="23" t="s">
        <v>92</v>
      </c>
      <c r="N9" s="22" t="s">
        <v>86</v>
      </c>
      <c r="O9" s="28" t="s">
        <v>86</v>
      </c>
      <c r="P9" s="28" t="s">
        <v>111</v>
      </c>
    </row>
    <row r="10" spans="1:17">
      <c r="A10" s="11"/>
      <c r="B10" s="18"/>
      <c r="C10" s="89"/>
      <c r="D10" s="18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128"/>
    </row>
    <row r="11" spans="1:17">
      <c r="A11" s="92" t="s">
        <v>78</v>
      </c>
      <c r="B11" s="90"/>
      <c r="C11" s="93">
        <f>'SL Blocking'!C19/12</f>
        <v>2323.8333333333335</v>
      </c>
      <c r="D11" s="90"/>
      <c r="E11" s="90"/>
      <c r="F11" s="90"/>
      <c r="G11" s="90"/>
      <c r="H11" s="90"/>
      <c r="I11" s="90"/>
      <c r="J11" s="94">
        <f>'Unit Costs wo fixture cost'!$J$101/12</f>
        <v>3.5190255253442291</v>
      </c>
      <c r="K11" s="95">
        <f>SUM(I11:J11)*C11/1000*12</f>
        <v>98.131545799749176</v>
      </c>
      <c r="L11" s="90"/>
      <c r="M11" s="90"/>
      <c r="N11" s="90"/>
      <c r="O11" s="91"/>
      <c r="P11" s="128"/>
    </row>
    <row r="12" spans="1:17">
      <c r="A12" s="96" t="s">
        <v>295</v>
      </c>
      <c r="B12" s="97">
        <f>INDEX('LED Lighting kWh pg 3'!$D:$D,MATCH($A12,'LED Lighting kWh pg 3'!$F:$F,0))*D12</f>
        <v>497560.17028832133</v>
      </c>
      <c r="C12" s="97"/>
      <c r="D12" s="97">
        <f>SUMIFS('Price Summary pg 5,6'!$E:$E,'Price Summary pg 5,6'!$I:$I,$A12)/12</f>
        <v>2221.2507602157202</v>
      </c>
      <c r="E12" s="98">
        <f>'Unit Costs wo fixture cost'!$J$28</f>
        <v>3.5564976849694153E-2</v>
      </c>
      <c r="F12" s="99">
        <f>'Unit Costs wo fixture cost'!$J$46</f>
        <v>4.5349219077817603E-3</v>
      </c>
      <c r="G12" s="98">
        <f>'Unit Costs wo fixture cost'!$J$70+'Unit Costs wo fixture cost'!$J$76+'Unit Costs wo fixture cost'!$J$82</f>
        <v>6.3879654918969813E-3</v>
      </c>
      <c r="H12" s="95">
        <f>SUM(E12:G12)*B12/1000</f>
        <v>23.13050965225834</v>
      </c>
      <c r="I12" s="90"/>
      <c r="J12" s="94"/>
      <c r="K12" s="100"/>
      <c r="L12" s="104">
        <f>'Maintenance Assumptions pg 2'!M54</f>
        <v>3.4068551057303815</v>
      </c>
      <c r="M12" s="105">
        <f>'Install Cst (Exsting Pole) pg 1'!K12</f>
        <v>6.2696503573741067</v>
      </c>
      <c r="N12" s="95">
        <f>SUM(L12:M12)*D12/1000*12</f>
        <v>257.92734139382895</v>
      </c>
      <c r="O12" s="91"/>
      <c r="P12" s="131">
        <f>INDEX('LED Lighting kWh pg 3'!$D:$D,MATCH($A12,'LED Lighting kWh pg 3'!$F:$F,0))*SUM(E12:G12)/12+$K$11/$D$15/12*1000+L12+M12</f>
        <v>13.484331845309759</v>
      </c>
      <c r="Q12" s="6"/>
    </row>
    <row r="13" spans="1:17">
      <c r="A13" s="96" t="s">
        <v>296</v>
      </c>
      <c r="B13" s="97">
        <f>INDEX('LED Lighting kWh pg 3'!$D:$D,MATCH($A13,'LED Lighting kWh pg 3'!$F:$F,0))*D13</f>
        <v>196515.7087949237</v>
      </c>
      <c r="C13" s="97"/>
      <c r="D13" s="97">
        <f>SUMIFS('Price Summary pg 5,6'!$E:$E,'Price Summary pg 5,6'!$I:$I,$A13)/12</f>
        <v>475.8249607625271</v>
      </c>
      <c r="E13" s="98">
        <f>'Unit Costs wo fixture cost'!$J$28</f>
        <v>3.5564976849694153E-2</v>
      </c>
      <c r="F13" s="99">
        <f>'Unit Costs wo fixture cost'!$J$46</f>
        <v>4.5349219077817603E-3</v>
      </c>
      <c r="G13" s="98">
        <f>'Unit Costs wo fixture cost'!$J$70+'Unit Costs wo fixture cost'!$J$76+'Unit Costs wo fixture cost'!$J$82</f>
        <v>6.3879654918969813E-3</v>
      </c>
      <c r="H13" s="95">
        <f t="shared" ref="H13:H14" si="0">SUM(E13:G13)*B13/1000</f>
        <v>9.1355955933277073</v>
      </c>
      <c r="I13" s="90"/>
      <c r="J13" s="94"/>
      <c r="K13" s="100"/>
      <c r="L13" s="104">
        <f>'Maintenance Assumptions pg 2'!N54</f>
        <v>3.7242637219999994</v>
      </c>
      <c r="M13" s="105">
        <f>'Install Cst (Exsting Pole) pg 1'!L12</f>
        <v>6.9750910070333338</v>
      </c>
      <c r="N13" s="95">
        <f t="shared" ref="N13:N14" si="1">SUM(L13:M13)*D13/1000*12</f>
        <v>61.092240529519728</v>
      </c>
      <c r="O13" s="91"/>
      <c r="P13" s="129">
        <f>INDEX('LED Lighting kWh pg 3'!$D:$D,MATCH($A13,'LED Lighting kWh pg 3'!$F:$F,0))*SUM(E13:G13)/12+$K$11/$D$15/12*1000+L13+M13</f>
        <v>15.239364973166229</v>
      </c>
      <c r="Q13" s="6"/>
    </row>
    <row r="14" spans="1:17">
      <c r="A14" s="96" t="s">
        <v>297</v>
      </c>
      <c r="B14" s="97">
        <f>INDEX('LED Lighting kWh pg 3'!$D:$D,MATCH($A14,'LED Lighting kWh pg 3'!$F:$F,0))*D14</f>
        <v>58053.864225163568</v>
      </c>
      <c r="C14" s="97"/>
      <c r="D14" s="97">
        <f>SUMIFS('Price Summary pg 5,6'!$E:$E,'Price Summary pg 5,6'!$I:$I,$A14)/12</f>
        <v>84.3806166063424</v>
      </c>
      <c r="E14" s="98">
        <f>'Unit Costs wo fixture cost'!$J$28</f>
        <v>3.5564976849694153E-2</v>
      </c>
      <c r="F14" s="99">
        <f>'Unit Costs wo fixture cost'!$J$46</f>
        <v>4.5349219077817603E-3</v>
      </c>
      <c r="G14" s="98">
        <f>'Unit Costs wo fixture cost'!$J$70+'Unit Costs wo fixture cost'!$J$76+'Unit Costs wo fixture cost'!$J$82</f>
        <v>6.3879654918969813E-3</v>
      </c>
      <c r="H14" s="95">
        <f t="shared" si="0"/>
        <v>2.6988001592509296</v>
      </c>
      <c r="I14" s="90"/>
      <c r="J14" s="94"/>
      <c r="K14" s="100"/>
      <c r="L14" s="104">
        <f>'Maintenance Assumptions pg 2'!O54</f>
        <v>4.2875103886666661</v>
      </c>
      <c r="M14" s="105">
        <f>'Install Cst (Exsting Pole) pg 1'!M12</f>
        <v>8.0937493403666672</v>
      </c>
      <c r="N14" s="95">
        <f t="shared" si="1"/>
        <v>12.536859963589301</v>
      </c>
      <c r="O14" s="91"/>
      <c r="P14" s="132">
        <f>INDEX('LED Lighting kWh pg 3'!$D:$D,MATCH($A14,'LED Lighting kWh pg 3'!$F:$F,0))*SUM(E14:G14)/12+$K$11/$D$15/12*1000+L14+M14</f>
        <v>17.986616862214355</v>
      </c>
      <c r="Q14" s="6"/>
    </row>
    <row r="15" spans="1:17">
      <c r="A15" s="110" t="s">
        <v>95</v>
      </c>
      <c r="B15" s="111">
        <f t="shared" ref="B15:D15" si="2">SUM(B11:B14)</f>
        <v>752129.74330840865</v>
      </c>
      <c r="C15" s="111">
        <f t="shared" si="2"/>
        <v>2323.8333333333335</v>
      </c>
      <c r="D15" s="111">
        <f t="shared" si="2"/>
        <v>2781.4563375845896</v>
      </c>
      <c r="E15" s="112"/>
      <c r="F15" s="112"/>
      <c r="G15" s="112"/>
      <c r="H15" s="113">
        <f>SUM(H11:H14)</f>
        <v>34.964905404836976</v>
      </c>
      <c r="I15" s="112"/>
      <c r="J15" s="112"/>
      <c r="K15" s="113">
        <f>SUM(K11:K14)</f>
        <v>98.131545799749176</v>
      </c>
      <c r="L15" s="213"/>
      <c r="M15" s="213"/>
      <c r="N15" s="113">
        <f>SUM(N11:N14)</f>
        <v>331.55644188693799</v>
      </c>
      <c r="O15" s="123">
        <f>N15+K15+H15</f>
        <v>464.65289309152416</v>
      </c>
      <c r="P15" s="128"/>
      <c r="Q15" s="127"/>
    </row>
    <row r="16" spans="1:17">
      <c r="A16" s="92"/>
      <c r="B16" s="90"/>
      <c r="C16" s="93"/>
      <c r="D16" s="90"/>
      <c r="E16" s="90"/>
      <c r="F16" s="90"/>
      <c r="G16" s="90"/>
      <c r="H16" s="100"/>
      <c r="I16" s="90"/>
      <c r="J16" s="90"/>
      <c r="K16" s="100"/>
      <c r="L16" s="55"/>
      <c r="M16" s="55"/>
      <c r="N16" s="90"/>
      <c r="O16" s="91"/>
      <c r="P16" s="128"/>
    </row>
    <row r="17" spans="1:17">
      <c r="A17" s="101" t="s">
        <v>77</v>
      </c>
      <c r="B17" s="102"/>
      <c r="C17" s="103">
        <f>'SL Blocking'!C61/12+'SL Blocking'!C73+'SL Blocking'!C135/12</f>
        <v>290.16666666666669</v>
      </c>
      <c r="D17" s="102"/>
      <c r="E17" s="90"/>
      <c r="F17" s="90"/>
      <c r="G17" s="90"/>
      <c r="H17" s="100"/>
      <c r="I17" s="90"/>
      <c r="J17" s="94">
        <f>'Unit Costs wo fixture cost'!$J$101/12</f>
        <v>3.5190255253442291</v>
      </c>
      <c r="K17" s="95">
        <f>SUM(I17:J17)*C17/1000*12</f>
        <v>12.253246879248607</v>
      </c>
      <c r="L17" s="55"/>
      <c r="M17" s="55"/>
      <c r="N17" s="90"/>
      <c r="O17" s="91"/>
      <c r="P17" s="128"/>
    </row>
    <row r="18" spans="1:17">
      <c r="A18" s="96" t="s">
        <v>62</v>
      </c>
      <c r="B18" s="97">
        <f>INDEX('LED Lighting kWh pg 3'!$D:$D,MATCH($A18,'LED Lighting kWh pg 3'!$F:$F,0))*D18</f>
        <v>222805.93940080822</v>
      </c>
      <c r="C18" s="97"/>
      <c r="D18" s="97">
        <f>SUMIFS('Price Summary pg 5,6'!$E:$E,'Price Summary pg 5,6'!$I:$I,$A18)/12</f>
        <v>2228.0593940080821</v>
      </c>
      <c r="E18" s="98">
        <f>'Unit Costs wo fixture cost'!$J$28</f>
        <v>3.5564976849694153E-2</v>
      </c>
      <c r="F18" s="99">
        <f>'Unit Costs wo fixture cost'!$J$46</f>
        <v>4.5349219077817603E-3</v>
      </c>
      <c r="G18" s="98">
        <f>'Unit Costs wo fixture cost'!$J$70+'Unit Costs wo fixture cost'!$J$76+'Unit Costs wo fixture cost'!$J$82</f>
        <v>6.3879654918969813E-3</v>
      </c>
      <c r="H18" s="95">
        <f t="shared" ref="H18:H31" si="3">SUM(E18:G18)*B18/1000</f>
        <v>10.357772264818776</v>
      </c>
      <c r="I18" s="90"/>
      <c r="J18" s="94"/>
      <c r="K18" s="100"/>
      <c r="L18" s="105">
        <f>'Maintenance Assumptions pg 2'!F54</f>
        <v>6.4860597374105255</v>
      </c>
      <c r="M18" s="105">
        <f>'Install Cst (Exsting Pole) pg 1'!D12</f>
        <v>7.1856210236999978</v>
      </c>
      <c r="N18" s="95">
        <f t="shared" ref="N18:N29" si="4">SUM(L18:M18)*D18/1000*12</f>
        <v>365.53580102006237</v>
      </c>
      <c r="O18" s="91"/>
      <c r="P18" s="131">
        <f>INDEX('LED Lighting kWh pg 3'!$D:$D,MATCH($A18,'LED Lighting kWh pg 3'!$F:$F,0))*SUM(E18:G18)/12+$K$17/$D$32/12*1000+L18+M18</f>
        <v>14.209369589557195</v>
      </c>
      <c r="Q18" s="6"/>
    </row>
    <row r="19" spans="1:17">
      <c r="A19" s="96" t="s">
        <v>63</v>
      </c>
      <c r="B19" s="97">
        <f>INDEX('LED Lighting kWh pg 3'!$D:$D,MATCH($A19,'LED Lighting kWh pg 3'!$F:$F,0))*D19</f>
        <v>313089.05318924179</v>
      </c>
      <c r="C19" s="97"/>
      <c r="D19" s="97">
        <f>SUMIFS('Price Summary pg 5,6'!$E:$E,'Price Summary pg 5,6'!$I:$I,$A19)/12</f>
        <v>1710.8691431106108</v>
      </c>
      <c r="E19" s="98">
        <f>'Unit Costs wo fixture cost'!$J$28</f>
        <v>3.5564976849694153E-2</v>
      </c>
      <c r="F19" s="99">
        <f>'Unit Costs wo fixture cost'!$J$46</f>
        <v>4.5349219077817603E-3</v>
      </c>
      <c r="G19" s="98">
        <f>'Unit Costs wo fixture cost'!$J$70+'Unit Costs wo fixture cost'!$J$76+'Unit Costs wo fixture cost'!$J$82</f>
        <v>6.3879654918969813E-3</v>
      </c>
      <c r="H19" s="95">
        <f t="shared" si="3"/>
        <v>14.554841402626161</v>
      </c>
      <c r="I19" s="90"/>
      <c r="J19" s="94"/>
      <c r="K19" s="100"/>
      <c r="L19" s="105">
        <f>'Maintenance Assumptions pg 2'!G54</f>
        <v>6.7596528624105261</v>
      </c>
      <c r="M19" s="105">
        <f>'Install Cst (Exsting Pole) pg 1'!E12</f>
        <v>7.6720695999499986</v>
      </c>
      <c r="N19" s="95">
        <f t="shared" si="4"/>
        <v>296.28946371346689</v>
      </c>
      <c r="O19" s="91"/>
      <c r="P19" s="129">
        <f>INDEX('LED Lighting kWh pg 3'!$D:$D,MATCH($A19,'LED Lighting kWh pg 3'!$F:$F,0))*SUM(E19:G19)/12+$K$17/$D$32/12*1000+L19+M19</f>
        <v>15.290952351865357</v>
      </c>
      <c r="Q19" s="6"/>
    </row>
    <row r="20" spans="1:17">
      <c r="A20" s="96" t="s">
        <v>64</v>
      </c>
      <c r="B20" s="97">
        <f>INDEX('LED Lighting kWh pg 3'!$D:$D,MATCH($A20,'LED Lighting kWh pg 3'!$F:$F,0))*D20</f>
        <v>35814.39305442472</v>
      </c>
      <c r="C20" s="97"/>
      <c r="D20" s="97">
        <f>SUMIFS('Price Summary pg 5,6'!$E:$E,'Price Summary pg 5,6'!$I:$I,$A20)/12</f>
        <v>120.99457112981325</v>
      </c>
      <c r="E20" s="98">
        <f>'Unit Costs wo fixture cost'!$J$28</f>
        <v>3.5564976849694153E-2</v>
      </c>
      <c r="F20" s="99">
        <f>'Unit Costs wo fixture cost'!$J$46</f>
        <v>4.5349219077817603E-3</v>
      </c>
      <c r="G20" s="98">
        <f>'Unit Costs wo fixture cost'!$J$70+'Unit Costs wo fixture cost'!$J$76+'Unit Costs wo fixture cost'!$J$82</f>
        <v>6.3879654918969813E-3</v>
      </c>
      <c r="H20" s="95">
        <f t="shared" si="3"/>
        <v>1.66493464248778</v>
      </c>
      <c r="I20" s="90"/>
      <c r="J20" s="94"/>
      <c r="K20" s="100"/>
      <c r="L20" s="105">
        <f>'Maintenance Assumptions pg 2'!H54</f>
        <v>6.7782741124105259</v>
      </c>
      <c r="M20" s="105">
        <f>'Install Cst (Exsting Pole) pg 1'!F12</f>
        <v>7.7051781824499983</v>
      </c>
      <c r="N20" s="95">
        <f t="shared" si="4"/>
        <v>21.029029186749103</v>
      </c>
      <c r="O20" s="91"/>
      <c r="P20" s="129">
        <f>INDEX('LED Lighting kWh pg 3'!$D:$D,MATCH($A20,'LED Lighting kWh pg 3'!$F:$F,0))*SUM(E20:G20)/12+$K$17/$D$32/12*1000+L20+M20</f>
        <v>15.780442906046952</v>
      </c>
      <c r="Q20" s="6"/>
    </row>
    <row r="21" spans="1:17">
      <c r="A21" s="96" t="s">
        <v>65</v>
      </c>
      <c r="B21" s="97">
        <f>INDEX('LED Lighting kWh pg 3'!$D:$D,MATCH($A21,'LED Lighting kWh pg 3'!$F:$F,0))*D21</f>
        <v>654336.75353841553</v>
      </c>
      <c r="C21" s="97"/>
      <c r="D21" s="97">
        <f>SUMIFS('Price Summary pg 5,6'!$E:$E,'Price Summary pg 5,6'!$I:$I,$A21)/12</f>
        <v>1584.3504928290934</v>
      </c>
      <c r="E21" s="98">
        <f>'Unit Costs wo fixture cost'!$J$28</f>
        <v>3.5564976849694153E-2</v>
      </c>
      <c r="F21" s="99">
        <f>'Unit Costs wo fixture cost'!$J$46</f>
        <v>4.5349219077817603E-3</v>
      </c>
      <c r="G21" s="98">
        <f>'Unit Costs wo fixture cost'!$J$70+'Unit Costs wo fixture cost'!$J$76+'Unit Costs wo fixture cost'!$J$82</f>
        <v>6.3879654918969813E-3</v>
      </c>
      <c r="H21" s="95">
        <f t="shared" si="3"/>
        <v>30.41871817186923</v>
      </c>
      <c r="I21" s="90"/>
      <c r="J21" s="94"/>
      <c r="K21" s="100"/>
      <c r="L21" s="105">
        <f>'Maintenance Assumptions pg 2'!I54</f>
        <v>6.8177264040771925</v>
      </c>
      <c r="M21" s="105">
        <f>'Install Cst (Exsting Pole) pg 1'!G12</f>
        <v>7.7753243570333312</v>
      </c>
      <c r="N21" s="95">
        <f t="shared" si="4"/>
        <v>277.44608598294519</v>
      </c>
      <c r="O21" s="91"/>
      <c r="P21" s="129">
        <f>INDEX('LED Lighting kWh pg 3'!$D:$D,MATCH($A21,'LED Lighting kWh pg 3'!$F:$F,0))*SUM(E21:G21)/12+$K$17/$D$32/12*1000+L21+M21</f>
        <v>16.343298048728336</v>
      </c>
      <c r="Q21" s="6"/>
    </row>
    <row r="22" spans="1:17">
      <c r="A22" s="96" t="s">
        <v>66</v>
      </c>
      <c r="B22" s="97">
        <f>INDEX('LED Lighting kWh pg 3'!$D:$D,MATCH($A22,'LED Lighting kWh pg 3'!$F:$F,0))*D22</f>
        <v>171309.76867651939</v>
      </c>
      <c r="C22" s="97"/>
      <c r="D22" s="97">
        <f>SUMIFS('Price Summary pg 5,6'!$E:$E,'Price Summary pg 5,6'!$I:$I,$A22)/12</f>
        <v>326.30432128860838</v>
      </c>
      <c r="E22" s="98">
        <f>'Unit Costs wo fixture cost'!$J$28</f>
        <v>3.5564976849694153E-2</v>
      </c>
      <c r="F22" s="99">
        <f>'Unit Costs wo fixture cost'!$J$46</f>
        <v>4.5349219077817603E-3</v>
      </c>
      <c r="G22" s="98">
        <f>'Unit Costs wo fixture cost'!$J$70+'Unit Costs wo fixture cost'!$J$76+'Unit Costs wo fixture cost'!$J$82</f>
        <v>6.3879654918969813E-3</v>
      </c>
      <c r="H22" s="95">
        <f t="shared" si="3"/>
        <v>7.9638252708255068</v>
      </c>
      <c r="I22" s="90"/>
      <c r="J22" s="94"/>
      <c r="K22" s="100"/>
      <c r="L22" s="105">
        <f>'Maintenance Assumptions pg 2'!J54</f>
        <v>6.9838978000421044</v>
      </c>
      <c r="M22" s="105">
        <f>'Install Cst (Exsting Pole) pg 1'!H12</f>
        <v>8.2053095799499989</v>
      </c>
      <c r="N22" s="95">
        <f t="shared" si="4"/>
        <v>59.475648060482939</v>
      </c>
      <c r="O22" s="91"/>
      <c r="P22" s="129">
        <f>INDEX('LED Lighting kWh pg 3'!$D:$D,MATCH($A22,'LED Lighting kWh pg 3'!$F:$F,0))*SUM(E22:G22)/12+$K$17/$D$32/12*1000+L22+M22</f>
        <v>17.373341400604062</v>
      </c>
      <c r="Q22" s="6"/>
    </row>
    <row r="23" spans="1:17">
      <c r="A23" s="96" t="s">
        <v>67</v>
      </c>
      <c r="B23" s="97">
        <f>INDEX('LED Lighting kWh pg 3'!$D:$D,MATCH($A23,'LED Lighting kWh pg 3'!$F:$F,0))*D23</f>
        <v>195951.58327277401</v>
      </c>
      <c r="C23" s="97"/>
      <c r="D23" s="97">
        <f>SUMIFS('Price Summary pg 5,6'!$E:$E,'Price Summary pg 5,6'!$I:$I,$A23)/12</f>
        <v>284.81334778019476</v>
      </c>
      <c r="E23" s="98">
        <f>'Unit Costs wo fixture cost'!$J$28</f>
        <v>3.5564976849694153E-2</v>
      </c>
      <c r="F23" s="99">
        <f>'Unit Costs wo fixture cost'!$J$46</f>
        <v>4.5349219077817603E-3</v>
      </c>
      <c r="G23" s="98">
        <f>'Unit Costs wo fixture cost'!$J$70+'Unit Costs wo fixture cost'!$J$76+'Unit Costs wo fixture cost'!$J$82</f>
        <v>6.3879654918969813E-3</v>
      </c>
      <c r="H23" s="95">
        <f t="shared" si="3"/>
        <v>9.1093706026344066</v>
      </c>
      <c r="I23" s="90"/>
      <c r="J23" s="94"/>
      <c r="K23" s="100"/>
      <c r="L23" s="105">
        <f>'Maintenance Assumptions pg 2'!K54</f>
        <v>8.3965622254807002</v>
      </c>
      <c r="M23" s="105">
        <f>'Install Cst (Exsting Pole) pg 1'!I12</f>
        <v>9.9848597736999984</v>
      </c>
      <c r="N23" s="95">
        <f t="shared" si="4"/>
        <v>62.823292038566109</v>
      </c>
      <c r="O23" s="91"/>
      <c r="P23" s="129">
        <f>INDEX('LED Lighting kWh pg 3'!$D:$D,MATCH($A23,'LED Lighting kWh pg 3'!$F:$F,0))*SUM(E23:G23)/12+$K$17/$D$32/12*1000+L23+M23</f>
        <v>21.197016175846642</v>
      </c>
      <c r="Q23" s="6"/>
    </row>
    <row r="24" spans="1:17">
      <c r="A24" s="96" t="s">
        <v>68</v>
      </c>
      <c r="B24" s="97">
        <f>INDEX('LED Lighting kWh pg 3'!$D:$D,MATCH($A18,'LED Lighting kWh pg 3'!$F:$F,0))*D24</f>
        <v>20931.332823649333</v>
      </c>
      <c r="C24" s="97"/>
      <c r="D24" s="97">
        <f>SUMIFS('Price Summary pg 5,6'!$E:$E,'Price Summary pg 5,6'!$I:$I,$A24)/12</f>
        <v>209.31332823649333</v>
      </c>
      <c r="E24" s="98">
        <f>'Unit Costs wo fixture cost'!$J$28</f>
        <v>3.5564976849694153E-2</v>
      </c>
      <c r="F24" s="99">
        <f>'Unit Costs wo fixture cost'!$J$46</f>
        <v>4.5349219077817603E-3</v>
      </c>
      <c r="G24" s="98">
        <f>'Unit Costs wo fixture cost'!$J$70+'Unit Costs wo fixture cost'!$J$76+'Unit Costs wo fixture cost'!$J$82</f>
        <v>6.3879654918969813E-3</v>
      </c>
      <c r="H24" s="95">
        <f t="shared" si="3"/>
        <v>0.97305295886425325</v>
      </c>
      <c r="I24" s="90"/>
      <c r="J24" s="94"/>
      <c r="K24" s="100"/>
      <c r="L24" s="104">
        <f>L18</f>
        <v>6.4860597374105255</v>
      </c>
      <c r="M24" s="105">
        <v>0</v>
      </c>
      <c r="N24" s="95">
        <f t="shared" si="4"/>
        <v>16.291425009337356</v>
      </c>
      <c r="O24" s="91"/>
      <c r="P24" s="129">
        <f>INDEX('LED Lighting kWh pg 3'!$D:$D,MATCH($A18,'LED Lighting kWh pg 3'!$F:$F,0))*SUM(E24:G24)/12+$K$17/$D$32/12*1000+L24+M24</f>
        <v>7.0237485658571961</v>
      </c>
      <c r="Q24" s="6"/>
    </row>
    <row r="25" spans="1:17">
      <c r="A25" s="96" t="s">
        <v>69</v>
      </c>
      <c r="B25" s="97">
        <f>INDEX('LED Lighting kWh pg 3'!$D:$D,MATCH($A19,'LED Lighting kWh pg 3'!$F:$F,0))*D25</f>
        <v>18680.2080087055</v>
      </c>
      <c r="C25" s="97"/>
      <c r="D25" s="97">
        <f>SUMIFS('Price Summary pg 5,6'!$E:$E,'Price Summary pg 5,6'!$I:$I,$A25)/12</f>
        <v>102.07763939183333</v>
      </c>
      <c r="E25" s="98">
        <f>'Unit Costs wo fixture cost'!$J$28</f>
        <v>3.5564976849694153E-2</v>
      </c>
      <c r="F25" s="99">
        <f>'Unit Costs wo fixture cost'!$J$46</f>
        <v>4.5349219077817603E-3</v>
      </c>
      <c r="G25" s="98">
        <f>'Unit Costs wo fixture cost'!$J$70+'Unit Costs wo fixture cost'!$J$76+'Unit Costs wo fixture cost'!$J$82</f>
        <v>6.3879654918969813E-3</v>
      </c>
      <c r="H25" s="95">
        <f t="shared" si="3"/>
        <v>0.86840297405874967</v>
      </c>
      <c r="I25" s="90"/>
      <c r="J25" s="94"/>
      <c r="K25" s="100"/>
      <c r="L25" s="104">
        <f t="shared" ref="L25:L29" si="5">L19</f>
        <v>6.7596528624105261</v>
      </c>
      <c r="M25" s="105">
        <v>0</v>
      </c>
      <c r="N25" s="95">
        <f t="shared" si="4"/>
        <v>8.2801128876373884</v>
      </c>
      <c r="O25" s="91"/>
      <c r="P25" s="129">
        <f>INDEX('LED Lighting kWh pg 3'!$D:$D,MATCH($A19,'LED Lighting kWh pg 3'!$F:$F,0))*SUM(E25:G25)/12+$K$17/$D$32/12*1000+L25+M25</f>
        <v>7.6188827519153595</v>
      </c>
      <c r="Q25" s="6"/>
    </row>
    <row r="26" spans="1:17">
      <c r="A26" s="96" t="s">
        <v>70</v>
      </c>
      <c r="B26" s="97">
        <f>INDEX('LED Lighting kWh pg 3'!$D:$D,MATCH($A20,'LED Lighting kWh pg 3'!$F:$F,0))*D26</f>
        <v>519.19651741293615</v>
      </c>
      <c r="C26" s="97"/>
      <c r="D26" s="97">
        <f>SUMIFS('Price Summary pg 5,6'!$E:$E,'Price Summary pg 5,6'!$I:$I,$A26)/12</f>
        <v>1.7540422885572167</v>
      </c>
      <c r="E26" s="98">
        <f>'Unit Costs wo fixture cost'!$J$28</f>
        <v>3.5564976849694153E-2</v>
      </c>
      <c r="F26" s="99">
        <f>'Unit Costs wo fixture cost'!$J$46</f>
        <v>4.5349219077817603E-3</v>
      </c>
      <c r="G26" s="98">
        <f>'Unit Costs wo fixture cost'!$J$70+'Unit Costs wo fixture cost'!$J$76+'Unit Costs wo fixture cost'!$J$82</f>
        <v>6.3879654918969813E-3</v>
      </c>
      <c r="H26" s="95">
        <f t="shared" si="3"/>
        <v>2.4136337220239747E-2</v>
      </c>
      <c r="I26" s="90"/>
      <c r="J26" s="94"/>
      <c r="K26" s="100"/>
      <c r="L26" s="104">
        <f t="shared" si="5"/>
        <v>6.7782741124105259</v>
      </c>
      <c r="M26" s="105">
        <v>0</v>
      </c>
      <c r="N26" s="95">
        <f t="shared" si="4"/>
        <v>0.14267255323920836</v>
      </c>
      <c r="O26" s="91"/>
      <c r="P26" s="129">
        <f>INDEX('LED Lighting kWh pg 3'!$D:$D,MATCH($A20,'LED Lighting kWh pg 3'!$F:$F,0))*SUM(E26:G26)/12+$K$17/$D$32/12*1000+L26+M26</f>
        <v>8.0752647235969537</v>
      </c>
      <c r="Q26" s="6"/>
    </row>
    <row r="27" spans="1:17">
      <c r="A27" s="96" t="s">
        <v>71</v>
      </c>
      <c r="B27" s="97">
        <f>INDEX('LED Lighting kWh pg 3'!$D:$D,MATCH($A21,'LED Lighting kWh pg 3'!$F:$F,0))*D27</f>
        <v>63593.94373121221</v>
      </c>
      <c r="C27" s="97"/>
      <c r="D27" s="97">
        <f>SUMIFS('Price Summary pg 5,6'!$E:$E,'Price Summary pg 5,6'!$I:$I,$A27)/12</f>
        <v>153.98049329591333</v>
      </c>
      <c r="E27" s="98">
        <f>'Unit Costs wo fixture cost'!$J$28</f>
        <v>3.5564976849694153E-2</v>
      </c>
      <c r="F27" s="99">
        <f>'Unit Costs wo fixture cost'!$J$46</f>
        <v>4.5349219077817603E-3</v>
      </c>
      <c r="G27" s="98">
        <f>'Unit Costs wo fixture cost'!$J$70+'Unit Costs wo fixture cost'!$J$76+'Unit Costs wo fixture cost'!$J$82</f>
        <v>6.3879654918969813E-3</v>
      </c>
      <c r="H27" s="95">
        <f t="shared" si="3"/>
        <v>2.9563466232588516</v>
      </c>
      <c r="I27" s="90"/>
      <c r="J27" s="94"/>
      <c r="K27" s="100"/>
      <c r="L27" s="104">
        <f t="shared" si="5"/>
        <v>6.8177264040771925</v>
      </c>
      <c r="M27" s="105">
        <v>0</v>
      </c>
      <c r="N27" s="95">
        <f t="shared" si="4"/>
        <v>12.597562498276554</v>
      </c>
      <c r="O27" s="91"/>
      <c r="P27" s="129">
        <f>INDEX('LED Lighting kWh pg 3'!$D:$D,MATCH($A21,'LED Lighting kWh pg 3'!$F:$F,0))*SUM(E27:G27)/12+$K$17/$D$32/12*1000+L27+M27</f>
        <v>8.5679736916950056</v>
      </c>
      <c r="Q27" s="6"/>
    </row>
    <row r="28" spans="1:17">
      <c r="A28" s="96" t="s">
        <v>72</v>
      </c>
      <c r="B28" s="97">
        <f>INDEX('LED Lighting kWh pg 3'!$D:$D,MATCH($A22,'LED Lighting kWh pg 3'!$F:$F,0))*D28</f>
        <v>7182.2300286149439</v>
      </c>
      <c r="C28" s="97"/>
      <c r="D28" s="97">
        <f>SUMIFS('Price Summary pg 5,6'!$E:$E,'Price Summary pg 5,6'!$I:$I,$A28)/12</f>
        <v>13.68043814974275</v>
      </c>
      <c r="E28" s="98">
        <f>'Unit Costs wo fixture cost'!$J$28</f>
        <v>3.5564976849694153E-2</v>
      </c>
      <c r="F28" s="99">
        <f>'Unit Costs wo fixture cost'!$J$46</f>
        <v>4.5349219077817603E-3</v>
      </c>
      <c r="G28" s="98">
        <f>'Unit Costs wo fixture cost'!$J$70+'Unit Costs wo fixture cost'!$J$76+'Unit Costs wo fixture cost'!$J$82</f>
        <v>6.3879654918969813E-3</v>
      </c>
      <c r="H28" s="95">
        <f t="shared" si="3"/>
        <v>0.33388653457802109</v>
      </c>
      <c r="I28" s="90"/>
      <c r="J28" s="94"/>
      <c r="K28" s="100"/>
      <c r="L28" s="104">
        <f t="shared" si="5"/>
        <v>6.9838978000421044</v>
      </c>
      <c r="M28" s="105">
        <v>0</v>
      </c>
      <c r="N28" s="95">
        <f t="shared" si="4"/>
        <v>1.1465133827712057</v>
      </c>
      <c r="O28" s="91"/>
      <c r="P28" s="129">
        <f>INDEX('LED Lighting kWh pg 3'!$D:$D,MATCH($A22,'LED Lighting kWh pg 3'!$F:$F,0))*SUM(E28:G28)/12+$K$17/$D$32/12*1000+L28+M28</f>
        <v>9.1680318206540647</v>
      </c>
      <c r="Q28" s="6"/>
    </row>
    <row r="29" spans="1:17">
      <c r="A29" s="96" t="s">
        <v>73</v>
      </c>
      <c r="B29" s="97">
        <f>INDEX('LED Lighting kWh pg 3'!$D:$D,MATCH($A23,'LED Lighting kWh pg 3'!$F:$F,0))*D29</f>
        <v>37171.605921643444</v>
      </c>
      <c r="C29" s="97"/>
      <c r="D29" s="97">
        <f>SUMIFS('Price Summary pg 5,6'!$E:$E,'Price Summary pg 5,6'!$I:$I,$A29)/12</f>
        <v>54.028496979132917</v>
      </c>
      <c r="E29" s="98">
        <f>'Unit Costs wo fixture cost'!$J$28</f>
        <v>3.5564976849694153E-2</v>
      </c>
      <c r="F29" s="99">
        <f>'Unit Costs wo fixture cost'!$J$46</f>
        <v>4.5349219077817603E-3</v>
      </c>
      <c r="G29" s="98">
        <f>'Unit Costs wo fixture cost'!$J$70+'Unit Costs wo fixture cost'!$J$76+'Unit Costs wo fixture cost'!$J$82</f>
        <v>6.3879654918969813E-3</v>
      </c>
      <c r="H29" s="95">
        <f t="shared" si="3"/>
        <v>1.7280285700165459</v>
      </c>
      <c r="I29" s="90"/>
      <c r="J29" s="94"/>
      <c r="K29" s="100"/>
      <c r="L29" s="104">
        <f t="shared" si="5"/>
        <v>8.3965622254807002</v>
      </c>
      <c r="M29" s="105">
        <v>0</v>
      </c>
      <c r="N29" s="95">
        <f t="shared" si="4"/>
        <v>5.4438436420138263</v>
      </c>
      <c r="O29" s="91"/>
      <c r="P29" s="129">
        <f>INDEX('LED Lighting kWh pg 3'!$D:$D,MATCH($A23,'LED Lighting kWh pg 3'!$F:$F,0))*SUM(E29:G29)/12+$K$17/$D$32/12*1000+L29+M29</f>
        <v>11.212156402146643</v>
      </c>
      <c r="Q29" s="6"/>
    </row>
    <row r="30" spans="1:17">
      <c r="A30" s="96" t="s">
        <v>318</v>
      </c>
      <c r="B30" s="107">
        <f>INDEX('LED Lighting kWh pg 3'!$D:$D,MATCH($A20,'LED Lighting kWh pg 3'!$F:$F,0))*D30</f>
        <v>1183.9973801162914</v>
      </c>
      <c r="C30" s="97"/>
      <c r="D30" s="97">
        <f>SUMIFS('Price Summary pg 5,6'!$E:$E,'Price Summary pg 5,6'!$I:$I,$A30)/12</f>
        <v>3.999991149041525</v>
      </c>
      <c r="E30" s="98">
        <f>'Unit Costs wo fixture cost'!$J$28</f>
        <v>3.5564976849694153E-2</v>
      </c>
      <c r="F30" s="99">
        <f>'Unit Costs wo fixture cost'!$J$46</f>
        <v>4.5349219077817603E-3</v>
      </c>
      <c r="G30" s="98">
        <f>'Unit Costs wo fixture cost'!$J$70+'Unit Costs wo fixture cost'!$J$76+'Unit Costs wo fixture cost'!$J$82</f>
        <v>6.3879654918969813E-3</v>
      </c>
      <c r="H30" s="95">
        <f t="shared" si="3"/>
        <v>5.5041509478459309E-2</v>
      </c>
      <c r="I30" s="90"/>
      <c r="J30" s="94"/>
      <c r="K30" s="100"/>
      <c r="L30" s="105">
        <f>'Maintenance Assumptions pg 2'!L54</f>
        <v>4.9203489055</v>
      </c>
      <c r="M30" s="105">
        <f>'Install Cst (Exsting Pole) pg 1'!J12</f>
        <v>21.933596349466669</v>
      </c>
      <c r="N30" s="95">
        <f t="shared" ref="N30:N31" si="6">SUM(L30:M30)*D30/1000*12</f>
        <v>1.2889865200405479</v>
      </c>
      <c r="O30" s="91"/>
      <c r="P30" s="129">
        <f>INDEX('LED Lighting kWh pg 3'!$D:$D,MATCH($A20,'LED Lighting kWh pg 3'!$F:$F,0))*SUM(E30:G30)/12+$K$17/$D$32/12*1000+L30+M30</f>
        <v>28.150935866153098</v>
      </c>
      <c r="Q30" s="6"/>
    </row>
    <row r="31" spans="1:17">
      <c r="A31" s="96" t="s">
        <v>319</v>
      </c>
      <c r="B31" s="106">
        <f>INDEX('LED Lighting kWh pg 3'!$D:$D,MATCH($A21,'LED Lighting kWh pg 3'!$F:$F,0))*D31</f>
        <v>0</v>
      </c>
      <c r="C31" s="97"/>
      <c r="D31" s="97">
        <f>SUMIFS('Price Summary pg 5,6'!$E:$E,'Price Summary pg 5,6'!$I:$I,$A31)/12</f>
        <v>0</v>
      </c>
      <c r="E31" s="98">
        <f>'Unit Costs wo fixture cost'!$J$28</f>
        <v>3.5564976849694153E-2</v>
      </c>
      <c r="F31" s="99">
        <f>'Unit Costs wo fixture cost'!$J$46</f>
        <v>4.5349219077817603E-3</v>
      </c>
      <c r="G31" s="98">
        <f>'Unit Costs wo fixture cost'!$J$70+'Unit Costs wo fixture cost'!$J$76+'Unit Costs wo fixture cost'!$J$82</f>
        <v>6.3879654918969813E-3</v>
      </c>
      <c r="H31" s="95">
        <f t="shared" si="3"/>
        <v>0</v>
      </c>
      <c r="I31" s="90"/>
      <c r="J31" s="94"/>
      <c r="K31" s="100"/>
      <c r="L31" s="105">
        <f>'Maintenance Assumptions pg 2'!L54</f>
        <v>4.9203489055</v>
      </c>
      <c r="M31" s="105">
        <v>0</v>
      </c>
      <c r="N31" s="95">
        <f t="shared" si="6"/>
        <v>0</v>
      </c>
      <c r="O31" s="91"/>
      <c r="P31" s="132">
        <f>INDEX('LED Lighting kWh pg 3'!$D:$D,MATCH($A20,'LED Lighting kWh pg 3'!$F:$F,0))*SUM(E31:G31)/12+$K$17/$D$32/12*1000+L31+M31</f>
        <v>6.2173395166864278</v>
      </c>
      <c r="Q31" s="6"/>
    </row>
    <row r="32" spans="1:17">
      <c r="A32" s="110" t="s">
        <v>96</v>
      </c>
      <c r="B32" s="111">
        <f t="shared" ref="B32:D32" si="7">SUM(B17:B31)</f>
        <v>1742570.0055435384</v>
      </c>
      <c r="C32" s="111">
        <f t="shared" si="7"/>
        <v>290.16666666666669</v>
      </c>
      <c r="D32" s="111">
        <f t="shared" si="7"/>
        <v>6794.225699637117</v>
      </c>
      <c r="E32" s="112"/>
      <c r="F32" s="112"/>
      <c r="G32" s="112"/>
      <c r="H32" s="113">
        <f>SUM(H17:H31)</f>
        <v>81.008357862737</v>
      </c>
      <c r="I32" s="112"/>
      <c r="J32" s="112"/>
      <c r="K32" s="113">
        <f>SUM(K17:K31)</f>
        <v>12.253246879248607</v>
      </c>
      <c r="L32" s="213"/>
      <c r="M32" s="213"/>
      <c r="N32" s="113">
        <f>SUM(N17:N31)</f>
        <v>1127.7904364955889</v>
      </c>
      <c r="O32" s="123">
        <f>N32+K32+H32</f>
        <v>1221.0520412375745</v>
      </c>
      <c r="P32" s="128"/>
      <c r="Q32" s="88"/>
    </row>
    <row r="33" spans="1:16">
      <c r="A33" s="92"/>
      <c r="B33" s="90"/>
      <c r="C33" s="93"/>
      <c r="D33" s="97"/>
      <c r="E33" s="90"/>
      <c r="F33" s="90"/>
      <c r="G33" s="90"/>
      <c r="H33" s="100"/>
      <c r="I33" s="90"/>
      <c r="J33" s="90"/>
      <c r="K33" s="100"/>
      <c r="L33" s="90"/>
      <c r="M33" s="90"/>
      <c r="N33" s="90"/>
      <c r="O33" s="91"/>
      <c r="P33" s="128"/>
    </row>
    <row r="34" spans="1:16">
      <c r="A34" s="110" t="s">
        <v>79</v>
      </c>
      <c r="B34" s="114">
        <f>'SL Blocking'!C86</f>
        <v>3695896.7353539728</v>
      </c>
      <c r="C34" s="114">
        <f>'SL Blocking'!C85/12</f>
        <v>232.66666666666666</v>
      </c>
      <c r="D34" s="111">
        <v>0</v>
      </c>
      <c r="E34" s="115">
        <f>'Unit Costs wo fixture cost'!$J$28</f>
        <v>3.5564976849694153E-2</v>
      </c>
      <c r="F34" s="116">
        <f>'Unit Costs wo fixture cost'!$J$46</f>
        <v>4.5349219077817603E-3</v>
      </c>
      <c r="G34" s="115">
        <f>'Unit Costs wo fixture cost'!$J$70+'Unit Costs wo fixture cost'!$J$76+'Unit Costs wo fixture cost'!$J$82</f>
        <v>6.3879654918969813E-3</v>
      </c>
      <c r="H34" s="117">
        <f>SUM(E34:G34)*B34/1000</f>
        <v>171.81434571283592</v>
      </c>
      <c r="I34" s="112"/>
      <c r="J34" s="118">
        <f>'Unit Costs wo fixture cost'!$J$101/12</f>
        <v>3.5190255253442291</v>
      </c>
      <c r="K34" s="117">
        <f>SUM(I34:J34)*C34/1000*12</f>
        <v>9.8251192667610869</v>
      </c>
      <c r="L34" s="112"/>
      <c r="M34" s="112"/>
      <c r="N34" s="112"/>
      <c r="O34" s="123">
        <f>N34+K34+H34</f>
        <v>181.63946497959699</v>
      </c>
      <c r="P34" s="133">
        <f>O34/B34*1000</f>
        <v>4.9146250013449189E-2</v>
      </c>
    </row>
    <row r="35" spans="1:16">
      <c r="A35" s="92"/>
      <c r="B35" s="90"/>
      <c r="C35" s="93"/>
      <c r="D35" s="97"/>
      <c r="E35" s="90"/>
      <c r="F35" s="90"/>
      <c r="G35" s="90"/>
      <c r="H35" s="100"/>
      <c r="I35" s="90"/>
      <c r="J35" s="90"/>
      <c r="K35" s="100"/>
      <c r="L35" s="90"/>
      <c r="M35" s="90"/>
      <c r="N35" s="90"/>
      <c r="O35" s="91"/>
      <c r="P35" s="128"/>
    </row>
    <row r="36" spans="1:16">
      <c r="A36" s="119" t="s">
        <v>80</v>
      </c>
      <c r="B36" s="120">
        <f>'SL Blocking'!C98</f>
        <v>282712</v>
      </c>
      <c r="C36" s="121">
        <f>'SL Blocking'!C96/12</f>
        <v>27</v>
      </c>
      <c r="D36" s="111">
        <v>0</v>
      </c>
      <c r="E36" s="115">
        <f>'Unit Costs wo fixture cost'!$J$28</f>
        <v>3.5564976849694153E-2</v>
      </c>
      <c r="F36" s="116">
        <f>'Unit Costs wo fixture cost'!$J$46</f>
        <v>4.5349219077817603E-3</v>
      </c>
      <c r="G36" s="115">
        <f>'Unit Costs wo fixture cost'!$J$70+'Unit Costs wo fixture cost'!$J$76+'Unit Costs wo fixture cost'!$J$82</f>
        <v>6.3879654918969813E-3</v>
      </c>
      <c r="H36" s="117">
        <f>SUM(E36:G36)*B36/1000</f>
        <v>13.14267707766871</v>
      </c>
      <c r="I36" s="122">
        <f>('Unit Costs wo fixture cost'!E83+'Unit Costs wo fixture cost'!E89+'Unit Costs wo fixture cost'!E95)/12</f>
        <v>12.493074935568586</v>
      </c>
      <c r="J36" s="118">
        <f>'Unit Costs wo fixture cost'!$J$101/12</f>
        <v>3.5190255253442291</v>
      </c>
      <c r="K36" s="117">
        <f>SUM(I36:J36)*C36/1000*12</f>
        <v>5.1879205493357521</v>
      </c>
      <c r="L36" s="112"/>
      <c r="M36" s="112"/>
      <c r="N36" s="112"/>
      <c r="O36" s="123">
        <f>N36+K36+H36</f>
        <v>18.330597627004462</v>
      </c>
      <c r="P36" s="128"/>
    </row>
    <row r="37" spans="1:16">
      <c r="A37" s="92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  <c r="P37" s="128"/>
    </row>
    <row r="38" spans="1:16">
      <c r="A38" s="119" t="s">
        <v>235</v>
      </c>
      <c r="B38" s="112"/>
      <c r="C38" s="112"/>
      <c r="D38" s="112"/>
      <c r="E38" s="112"/>
      <c r="F38" s="112"/>
      <c r="G38" s="112"/>
      <c r="H38" s="118">
        <f>H15+H32+H34+H36</f>
        <v>300.93028605807865</v>
      </c>
      <c r="I38" s="112"/>
      <c r="J38" s="112"/>
      <c r="K38" s="118">
        <f>K15+K32+K34+K36</f>
        <v>125.39783249509463</v>
      </c>
      <c r="L38" s="112"/>
      <c r="M38" s="112"/>
      <c r="N38" s="118">
        <f>N15+N32+N34+N36</f>
        <v>1459.3468783825269</v>
      </c>
      <c r="O38" s="123">
        <f>N38+K38+H38</f>
        <v>1885.6749969357002</v>
      </c>
      <c r="P38" s="128"/>
    </row>
    <row r="39" spans="1:16">
      <c r="A39" s="92"/>
      <c r="B39" s="90"/>
      <c r="C39" s="90"/>
      <c r="D39" s="90"/>
      <c r="E39" s="90"/>
      <c r="F39" s="90"/>
      <c r="G39" s="90"/>
      <c r="H39" s="94"/>
      <c r="I39" s="90"/>
      <c r="J39" s="90"/>
      <c r="K39" s="94"/>
      <c r="L39" s="90"/>
      <c r="M39" s="90"/>
      <c r="N39" s="94"/>
      <c r="O39" s="124"/>
      <c r="P39" s="128"/>
    </row>
    <row r="40" spans="1:16">
      <c r="A40" s="119" t="s">
        <v>236</v>
      </c>
      <c r="B40" s="112"/>
      <c r="C40" s="112"/>
      <c r="D40" s="112"/>
      <c r="E40" s="112"/>
      <c r="F40" s="112"/>
      <c r="G40" s="112"/>
      <c r="H40" s="118"/>
      <c r="I40" s="112"/>
      <c r="J40" s="112"/>
      <c r="K40" s="118"/>
      <c r="L40" s="112"/>
      <c r="M40" s="112"/>
      <c r="N40" s="118"/>
      <c r="O40" s="123">
        <f>'Unit Costs'!J20/1000</f>
        <v>1299.7050725008312</v>
      </c>
      <c r="P40" s="128"/>
    </row>
    <row r="41" spans="1:16">
      <c r="A41" s="92"/>
      <c r="B41" s="90"/>
      <c r="C41" s="90"/>
      <c r="D41" s="90"/>
      <c r="E41" s="90"/>
      <c r="F41" s="90"/>
      <c r="G41" s="90"/>
      <c r="H41" s="94"/>
      <c r="I41" s="90"/>
      <c r="J41" s="90"/>
      <c r="K41" s="94"/>
      <c r="L41" s="90"/>
      <c r="M41" s="90"/>
      <c r="N41" s="94"/>
      <c r="O41" s="124"/>
      <c r="P41" s="128"/>
    </row>
    <row r="42" spans="1:16">
      <c r="A42" s="119" t="s">
        <v>327</v>
      </c>
      <c r="B42" s="112"/>
      <c r="C42" s="112"/>
      <c r="D42" s="112"/>
      <c r="E42" s="112"/>
      <c r="F42" s="112"/>
      <c r="G42" s="112"/>
      <c r="H42" s="118"/>
      <c r="I42" s="112"/>
      <c r="J42" s="112"/>
      <c r="K42" s="118"/>
      <c r="L42" s="112"/>
      <c r="M42" s="112"/>
      <c r="N42" s="118"/>
      <c r="O42" s="123">
        <v>24.844284738250799</v>
      </c>
      <c r="P42" s="128"/>
    </row>
    <row r="43" spans="1:16">
      <c r="A43" s="92"/>
      <c r="B43" s="90"/>
      <c r="C43" s="90"/>
      <c r="D43" s="90"/>
      <c r="E43" s="90"/>
      <c r="F43" s="90"/>
      <c r="G43" s="90"/>
      <c r="H43" s="94"/>
      <c r="I43" s="90"/>
      <c r="J43" s="90"/>
      <c r="K43" s="94"/>
      <c r="L43" s="90"/>
      <c r="M43" s="90"/>
      <c r="N43" s="94"/>
      <c r="O43" s="124"/>
      <c r="P43" s="128"/>
    </row>
    <row r="44" spans="1:16">
      <c r="A44" s="119" t="s">
        <v>326</v>
      </c>
      <c r="B44" s="112"/>
      <c r="C44" s="112"/>
      <c r="D44" s="112"/>
      <c r="E44" s="112"/>
      <c r="F44" s="112"/>
      <c r="G44" s="112"/>
      <c r="H44" s="118"/>
      <c r="I44" s="112"/>
      <c r="J44" s="112"/>
      <c r="K44" s="118"/>
      <c r="L44" s="112"/>
      <c r="M44" s="112"/>
      <c r="N44" s="118"/>
      <c r="O44" s="123">
        <f>O40-O42</f>
        <v>1274.8607877625805</v>
      </c>
      <c r="P44" s="128"/>
    </row>
    <row r="45" spans="1:16">
      <c r="A45" s="108"/>
      <c r="B45" s="109"/>
      <c r="C45" s="109"/>
      <c r="D45" s="109"/>
      <c r="E45" s="109"/>
      <c r="F45" s="109"/>
      <c r="G45" s="109"/>
      <c r="H45" s="125"/>
      <c r="I45" s="109"/>
      <c r="J45" s="109"/>
      <c r="K45" s="125"/>
      <c r="L45" s="109"/>
      <c r="M45" s="109"/>
      <c r="N45" s="125"/>
      <c r="O45" s="126"/>
      <c r="P45" s="128"/>
    </row>
    <row r="46" spans="1:16">
      <c r="A46" s="119" t="s">
        <v>245</v>
      </c>
      <c r="B46" s="112"/>
      <c r="C46" s="112"/>
      <c r="D46" s="112"/>
      <c r="E46" s="112"/>
      <c r="F46" s="112"/>
      <c r="G46" s="112"/>
      <c r="H46" s="134"/>
      <c r="I46" s="112"/>
      <c r="J46" s="112"/>
      <c r="K46" s="134"/>
      <c r="L46" s="112"/>
      <c r="M46" s="112"/>
      <c r="N46" s="134"/>
      <c r="O46" s="282">
        <f>O44</f>
        <v>1274.8607877625805</v>
      </c>
      <c r="P46" s="128"/>
    </row>
    <row r="47" spans="1:16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283"/>
      <c r="P47" s="130"/>
    </row>
    <row r="48" spans="1:16">
      <c r="O48" s="44"/>
    </row>
    <row r="49" spans="14:15">
      <c r="N49" s="135" t="s">
        <v>246</v>
      </c>
      <c r="O49" s="284">
        <f>'Price Summary pg 5,6'!L84/1000</f>
        <v>1274.8607877625777</v>
      </c>
    </row>
    <row r="50" spans="14:15">
      <c r="N50" s="135" t="s">
        <v>247</v>
      </c>
      <c r="O50" s="285">
        <f>O46-O49</f>
        <v>2.7284841053187847E-12</v>
      </c>
    </row>
    <row r="51" spans="14:15">
      <c r="O51" s="44"/>
    </row>
    <row r="52" spans="14:15">
      <c r="N52" s="135" t="s">
        <v>248</v>
      </c>
      <c r="O52" s="286">
        <v>0.63765057766991506</v>
      </c>
    </row>
  </sheetData>
  <pageMargins left="0.7" right="0.7" top="0.75" bottom="0.75" header="0.3" footer="0.3"/>
  <pageSetup scale="4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zoomScaleNormal="100" zoomScaleSheetLayoutView="100" workbookViewId="0">
      <pane xSplit="1" ySplit="9" topLeftCell="D31" activePane="bottomRight" state="frozen"/>
      <selection pane="topRight" activeCell="B1" sqref="B1"/>
      <selection pane="bottomLeft" activeCell="A8" sqref="A8"/>
      <selection pane="bottomRight"/>
    </sheetView>
  </sheetViews>
  <sheetFormatPr defaultRowHeight="14.4"/>
  <cols>
    <col min="1" max="1" width="62.33203125" bestFit="1" customWidth="1"/>
    <col min="2" max="2" width="10.88671875" customWidth="1"/>
    <col min="3" max="3" width="18.6640625" customWidth="1"/>
    <col min="4" max="4" width="12" customWidth="1"/>
    <col min="5" max="5" width="18.6640625" customWidth="1"/>
    <col min="6" max="6" width="10.88671875" customWidth="1"/>
    <col min="7" max="7" width="12.5546875" bestFit="1" customWidth="1"/>
    <col min="8" max="8" width="6.5546875" customWidth="1"/>
    <col min="9" max="9" width="69.33203125" bestFit="1" customWidth="1"/>
    <col min="10" max="10" width="10.88671875" customWidth="1"/>
    <col min="11" max="11" width="10.44140625" customWidth="1"/>
    <col min="12" max="12" width="10.88671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2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7" spans="1:12">
      <c r="B7" s="2" t="s">
        <v>74</v>
      </c>
      <c r="C7" s="2"/>
      <c r="D7" s="2"/>
      <c r="E7" s="2"/>
      <c r="F7" s="2"/>
      <c r="G7" s="2"/>
      <c r="H7" s="10"/>
      <c r="I7" s="2" t="s">
        <v>8</v>
      </c>
      <c r="J7" s="2"/>
      <c r="K7" s="2"/>
      <c r="L7" s="2"/>
    </row>
    <row r="8" spans="1:12">
      <c r="A8" s="1" t="s">
        <v>6</v>
      </c>
      <c r="B8" s="1" t="s">
        <v>6</v>
      </c>
      <c r="C8" s="1" t="s">
        <v>17</v>
      </c>
      <c r="D8" s="1"/>
      <c r="E8" s="1"/>
      <c r="F8" s="1" t="s">
        <v>6</v>
      </c>
      <c r="G8" s="1" t="s">
        <v>6</v>
      </c>
      <c r="H8" s="1"/>
      <c r="I8" s="1" t="s">
        <v>8</v>
      </c>
      <c r="J8" s="1" t="s">
        <v>8</v>
      </c>
      <c r="K8" s="1" t="s">
        <v>8</v>
      </c>
      <c r="L8" s="1" t="s">
        <v>8</v>
      </c>
    </row>
    <row r="9" spans="1:12">
      <c r="A9" s="1" t="s">
        <v>4</v>
      </c>
      <c r="B9" s="1" t="s">
        <v>5</v>
      </c>
      <c r="C9" s="1" t="s">
        <v>18</v>
      </c>
      <c r="D9" s="1" t="s">
        <v>9</v>
      </c>
      <c r="E9" s="1" t="s">
        <v>10</v>
      </c>
      <c r="F9" s="1" t="s">
        <v>11</v>
      </c>
      <c r="G9" s="1" t="s">
        <v>7</v>
      </c>
      <c r="H9" s="1"/>
      <c r="I9" s="1" t="s">
        <v>4</v>
      </c>
      <c r="J9" s="1" t="s">
        <v>5</v>
      </c>
      <c r="K9" s="1" t="s">
        <v>11</v>
      </c>
      <c r="L9" s="1" t="s">
        <v>7</v>
      </c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t="s">
        <v>12</v>
      </c>
      <c r="B11">
        <v>15</v>
      </c>
      <c r="C11" t="s">
        <v>19</v>
      </c>
      <c r="I11" t="s">
        <v>12</v>
      </c>
      <c r="J11">
        <v>15</v>
      </c>
    </row>
    <row r="12" spans="1:12">
      <c r="A12" s="4" t="s">
        <v>13</v>
      </c>
      <c r="B12">
        <v>15</v>
      </c>
      <c r="C12" t="s">
        <v>19</v>
      </c>
      <c r="D12" t="s">
        <v>58</v>
      </c>
      <c r="E12" s="6">
        <v>24389.764908324298</v>
      </c>
      <c r="F12" s="7">
        <v>11.24</v>
      </c>
      <c r="G12" s="8">
        <f>E12*F12</f>
        <v>274140.9575695651</v>
      </c>
      <c r="I12" s="4" t="s">
        <v>295</v>
      </c>
      <c r="J12">
        <v>15</v>
      </c>
      <c r="K12" s="7">
        <f>INDEX('Cost Analysis pg 4'!$P:$P,MATCH(I12,'Cost Analysis pg 4'!$A:$A,0))*'Cost Analysis pg 4'!$O$52</f>
        <v>8.5982919906545998</v>
      </c>
      <c r="L12" s="8">
        <f>K12*E12</f>
        <v>209710.32026519344</v>
      </c>
    </row>
    <row r="13" spans="1:12">
      <c r="A13" s="4" t="s">
        <v>14</v>
      </c>
      <c r="B13">
        <v>15</v>
      </c>
      <c r="C13" t="s">
        <v>19</v>
      </c>
      <c r="D13" t="s">
        <v>58</v>
      </c>
      <c r="E13" s="6">
        <v>3825.5359662951851</v>
      </c>
      <c r="F13" s="7">
        <v>21.369999999999997</v>
      </c>
      <c r="G13" s="8">
        <f t="shared" ref="G13:G19" si="0">E13*F13</f>
        <v>81751.703599728091</v>
      </c>
      <c r="I13" s="4" t="s">
        <v>296</v>
      </c>
      <c r="J13">
        <v>15</v>
      </c>
      <c r="K13" s="7">
        <f>INDEX('Cost Analysis pg 4'!$P:$P,MATCH(I13,'Cost Analysis pg 4'!$A:$A,0))*'Cost Analysis pg 4'!$O$52</f>
        <v>9.7173898784621162</v>
      </c>
      <c r="L13" s="8">
        <f t="shared" ref="L13:L17" si="1">K13*E13</f>
        <v>37174.224478569624</v>
      </c>
    </row>
    <row r="14" spans="1:12">
      <c r="A14" s="4" t="s">
        <v>15</v>
      </c>
      <c r="B14">
        <v>15</v>
      </c>
      <c r="C14" t="s">
        <v>19</v>
      </c>
      <c r="D14" t="s">
        <v>58</v>
      </c>
      <c r="E14" s="6">
        <v>441.7670756274303</v>
      </c>
      <c r="F14" s="7">
        <v>44.25</v>
      </c>
      <c r="G14" s="8">
        <f t="shared" si="0"/>
        <v>19548.193096513791</v>
      </c>
      <c r="I14" s="4" t="s">
        <v>297</v>
      </c>
      <c r="J14">
        <v>15</v>
      </c>
      <c r="K14" s="7">
        <f>INDEX('Cost Analysis pg 4'!$P:$P,MATCH(I14,'Cost Analysis pg 4'!$A:$A,0))*'Cost Analysis pg 4'!$O$52</f>
        <v>11.469176632518419</v>
      </c>
      <c r="L14" s="8">
        <f t="shared" si="1"/>
        <v>5066.7046208021211</v>
      </c>
    </row>
    <row r="15" spans="1:12">
      <c r="A15" s="4" t="s">
        <v>275</v>
      </c>
      <c r="B15">
        <v>15</v>
      </c>
      <c r="C15" t="s">
        <v>19</v>
      </c>
      <c r="D15" t="s">
        <v>58</v>
      </c>
      <c r="E15" s="6">
        <v>2265.2442142643458</v>
      </c>
      <c r="F15" s="7">
        <v>12.77</v>
      </c>
      <c r="G15" s="8">
        <f t="shared" si="0"/>
        <v>28927.168616155694</v>
      </c>
      <c r="I15" s="4" t="s">
        <v>295</v>
      </c>
      <c r="J15">
        <v>15</v>
      </c>
      <c r="K15" s="7">
        <f>INDEX('Cost Analysis pg 4'!$P:$P,MATCH(I15,'Cost Analysis pg 4'!$A:$A,0))*'Cost Analysis pg 4'!$O$52</f>
        <v>8.5982919906545998</v>
      </c>
      <c r="L15" s="8">
        <f t="shared" si="1"/>
        <v>19477.231184385797</v>
      </c>
    </row>
    <row r="16" spans="1:12">
      <c r="A16" s="4" t="s">
        <v>276</v>
      </c>
      <c r="B16">
        <v>15</v>
      </c>
      <c r="C16" t="s">
        <v>19</v>
      </c>
      <c r="D16" t="s">
        <v>58</v>
      </c>
      <c r="E16" s="6">
        <v>1884.3635628551399</v>
      </c>
      <c r="F16" s="7">
        <v>18.759999999999998</v>
      </c>
      <c r="G16" s="8">
        <f t="shared" si="0"/>
        <v>35350.660439162421</v>
      </c>
      <c r="I16" s="4" t="s">
        <v>296</v>
      </c>
      <c r="J16">
        <v>15</v>
      </c>
      <c r="K16" s="7">
        <f>INDEX('Cost Analysis pg 4'!$P:$P,MATCH(I16,'Cost Analysis pg 4'!$A:$A,0))*'Cost Analysis pg 4'!$O$52</f>
        <v>9.7173898784621162</v>
      </c>
      <c r="L16" s="8">
        <f t="shared" si="1"/>
        <v>18311.095413031348</v>
      </c>
    </row>
    <row r="17" spans="1:12">
      <c r="A17" s="4" t="s">
        <v>277</v>
      </c>
      <c r="B17">
        <v>15</v>
      </c>
      <c r="C17" t="s">
        <v>19</v>
      </c>
      <c r="D17" t="s">
        <v>58</v>
      </c>
      <c r="E17" s="6">
        <v>570.8003236486785</v>
      </c>
      <c r="F17" s="7">
        <v>30.28</v>
      </c>
      <c r="G17" s="8">
        <f t="shared" si="0"/>
        <v>17283.833800081986</v>
      </c>
      <c r="I17" s="4" t="s">
        <v>297</v>
      </c>
      <c r="J17">
        <v>15</v>
      </c>
      <c r="K17" s="7">
        <f>INDEX('Cost Analysis pg 4'!$P:$P,MATCH(I17,'Cost Analysis pg 4'!$A:$A,0))*'Cost Analysis pg 4'!$O$52</f>
        <v>11.469176632518419</v>
      </c>
      <c r="L17" s="8">
        <f t="shared" si="1"/>
        <v>6546.609733825374</v>
      </c>
    </row>
    <row r="18" spans="1:12">
      <c r="A18" s="4"/>
      <c r="E18" s="6"/>
      <c r="F18" s="7"/>
      <c r="G18" s="8"/>
      <c r="I18" s="4"/>
      <c r="K18" s="8"/>
      <c r="L18" s="7"/>
    </row>
    <row r="19" spans="1:12">
      <c r="A19" s="4" t="s">
        <v>16</v>
      </c>
      <c r="B19">
        <v>15</v>
      </c>
      <c r="C19" t="s">
        <v>19</v>
      </c>
      <c r="D19" t="s">
        <v>58</v>
      </c>
      <c r="E19" s="6">
        <v>497.13191990339959</v>
      </c>
      <c r="F19" s="7">
        <v>1</v>
      </c>
      <c r="G19" s="8">
        <f t="shared" si="0"/>
        <v>497.13191990339959</v>
      </c>
      <c r="I19" s="4" t="s">
        <v>61</v>
      </c>
      <c r="J19">
        <v>15</v>
      </c>
      <c r="K19" s="8">
        <v>0</v>
      </c>
      <c r="L19" s="7">
        <v>0</v>
      </c>
    </row>
    <row r="20" spans="1:12">
      <c r="A20" s="4"/>
      <c r="F20" s="7"/>
      <c r="G20" s="8"/>
      <c r="K20" s="8"/>
      <c r="L20" s="7"/>
    </row>
    <row r="21" spans="1:12">
      <c r="A21" s="5" t="s">
        <v>20</v>
      </c>
      <c r="B21">
        <v>51</v>
      </c>
      <c r="C21" t="s">
        <v>19</v>
      </c>
      <c r="F21" s="7"/>
      <c r="G21" s="8"/>
      <c r="I21" s="5" t="s">
        <v>20</v>
      </c>
      <c r="J21">
        <v>51</v>
      </c>
      <c r="K21" s="8"/>
      <c r="L21" s="7"/>
    </row>
    <row r="22" spans="1:12">
      <c r="A22" s="4" t="s">
        <v>21</v>
      </c>
      <c r="B22">
        <v>51</v>
      </c>
      <c r="C22" t="s">
        <v>19</v>
      </c>
      <c r="D22" t="s">
        <v>58</v>
      </c>
      <c r="E22" s="6">
        <v>42.160200250312897</v>
      </c>
      <c r="F22" s="7">
        <v>7.95</v>
      </c>
      <c r="G22" s="8">
        <f t="shared" ref="G22:G43" si="2">E22*F22</f>
        <v>335.17359198998753</v>
      </c>
      <c r="I22" s="4" t="s">
        <v>62</v>
      </c>
      <c r="J22">
        <v>51</v>
      </c>
      <c r="K22" s="7">
        <f>INDEX('Cost Analysis pg 4'!$P:$P,MATCH(I22,'Cost Analysis pg 4'!$A:$A,0))*'Cost Analysis pg 4'!$O$52</f>
        <v>9.06061272710647</v>
      </c>
      <c r="L22" s="8">
        <f>K22*E22</f>
        <v>381.99724696534241</v>
      </c>
    </row>
    <row r="23" spans="1:12">
      <c r="A23" s="4" t="s">
        <v>22</v>
      </c>
      <c r="B23">
        <v>51</v>
      </c>
      <c r="C23" t="s">
        <v>19</v>
      </c>
      <c r="D23" t="s">
        <v>58</v>
      </c>
      <c r="E23" s="6">
        <v>1940.5866589300399</v>
      </c>
      <c r="F23" s="7">
        <v>9.86</v>
      </c>
      <c r="G23" s="8">
        <f t="shared" si="2"/>
        <v>19134.184457050193</v>
      </c>
      <c r="I23" s="4" t="s">
        <v>63</v>
      </c>
      <c r="J23">
        <v>51</v>
      </c>
      <c r="K23" s="7">
        <f>INDEX('Cost Analysis pg 4'!$P:$P,MATCH(I23,'Cost Analysis pg 4'!$A:$A,0))*'Cost Analysis pg 4'!$O$52</f>
        <v>9.750284600290092</v>
      </c>
      <c r="L23" s="8">
        <f t="shared" ref="L23:L42" si="3">K23*E23</f>
        <v>18921.27221609397</v>
      </c>
    </row>
    <row r="24" spans="1:12">
      <c r="A24" s="4" t="s">
        <v>23</v>
      </c>
      <c r="B24">
        <v>51</v>
      </c>
      <c r="C24" t="s">
        <v>19</v>
      </c>
      <c r="D24" t="s">
        <v>58</v>
      </c>
      <c r="E24" s="6">
        <v>386.34804089456901</v>
      </c>
      <c r="F24" s="7">
        <v>12.43</v>
      </c>
      <c r="G24" s="8">
        <f t="shared" si="2"/>
        <v>4802.3061483194924</v>
      </c>
      <c r="I24" s="4" t="s">
        <v>64</v>
      </c>
      <c r="J24">
        <v>51</v>
      </c>
      <c r="K24" s="7">
        <f>INDEX('Cost Analysis pg 4'!$P:$P,MATCH(I24,'Cost Analysis pg 4'!$A:$A,0))*'Cost Analysis pg 4'!$O$52</f>
        <v>10.062408534927952</v>
      </c>
      <c r="L24" s="8">
        <f t="shared" si="3"/>
        <v>3887.5918241502045</v>
      </c>
    </row>
    <row r="25" spans="1:12">
      <c r="A25" s="4" t="s">
        <v>24</v>
      </c>
      <c r="B25">
        <v>51</v>
      </c>
      <c r="C25" t="s">
        <v>19</v>
      </c>
      <c r="D25" t="s">
        <v>58</v>
      </c>
      <c r="E25" s="6">
        <v>30.6747747747748</v>
      </c>
      <c r="F25" s="7">
        <v>12.87</v>
      </c>
      <c r="G25" s="8">
        <f t="shared" si="2"/>
        <v>394.78435135135163</v>
      </c>
      <c r="I25" s="4" t="s">
        <v>65</v>
      </c>
      <c r="J25">
        <v>51</v>
      </c>
      <c r="K25" s="7">
        <f>INDEX('Cost Analysis pg 4'!$P:$P,MATCH(I25,'Cost Analysis pg 4'!$A:$A,0))*'Cost Analysis pg 4'!$O$52</f>
        <v>10.421313441803219</v>
      </c>
      <c r="L25" s="8">
        <f t="shared" si="3"/>
        <v>319.67144268464693</v>
      </c>
    </row>
    <row r="26" spans="1:12">
      <c r="A26" s="4" t="s">
        <v>25</v>
      </c>
      <c r="B26">
        <v>51</v>
      </c>
      <c r="C26" t="s">
        <v>19</v>
      </c>
      <c r="D26" t="s">
        <v>58</v>
      </c>
      <c r="E26" s="6">
        <v>1920.3574460887401</v>
      </c>
      <c r="F26" s="7">
        <v>20.67</v>
      </c>
      <c r="G26" s="8">
        <f t="shared" si="2"/>
        <v>39693.788410654262</v>
      </c>
      <c r="I26" s="4" t="s">
        <v>66</v>
      </c>
      <c r="J26">
        <v>51</v>
      </c>
      <c r="K26" s="7">
        <f>INDEX('Cost Analysis pg 4'!$P:$P,MATCH(I26,'Cost Analysis pg 4'!$A:$A,0))*'Cost Analysis pg 4'!$O$52</f>
        <v>11.078121180151831</v>
      </c>
      <c r="L26" s="8">
        <f t="shared" si="3"/>
        <v>21273.952496977949</v>
      </c>
    </row>
    <row r="27" spans="1:12">
      <c r="A27" s="4" t="s">
        <v>26</v>
      </c>
      <c r="B27">
        <v>51</v>
      </c>
      <c r="C27" t="s">
        <v>19</v>
      </c>
      <c r="D27" t="s">
        <v>58</v>
      </c>
      <c r="E27" s="6">
        <v>710.850771902367</v>
      </c>
      <c r="F27" s="7">
        <v>26.09</v>
      </c>
      <c r="G27" s="8">
        <f t="shared" si="2"/>
        <v>18546.096638932755</v>
      </c>
      <c r="I27" s="4" t="s">
        <v>67</v>
      </c>
      <c r="J27">
        <v>51</v>
      </c>
      <c r="K27" s="7">
        <f>INDEX('Cost Analysis pg 4'!$P:$P,MATCH(I27,'Cost Analysis pg 4'!$A:$A,0))*'Cost Analysis pg 4'!$O$52</f>
        <v>13.516289609407146</v>
      </c>
      <c r="L27" s="8">
        <f t="shared" si="3"/>
        <v>9608.0649021030113</v>
      </c>
    </row>
    <row r="28" spans="1:12">
      <c r="A28" s="4" t="s">
        <v>27</v>
      </c>
      <c r="B28">
        <v>51</v>
      </c>
      <c r="C28" t="s">
        <v>19</v>
      </c>
      <c r="D28" t="s">
        <v>58</v>
      </c>
      <c r="E28" s="6">
        <v>2511.7599388379199</v>
      </c>
      <c r="F28" s="7">
        <v>6.5</v>
      </c>
      <c r="G28" s="8">
        <f t="shared" si="2"/>
        <v>16326.439602446479</v>
      </c>
      <c r="I28" s="4" t="s">
        <v>68</v>
      </c>
      <c r="J28">
        <v>51</v>
      </c>
      <c r="K28" s="7">
        <f>INDEX('Cost Analysis pg 4'!$P:$P,MATCH(I28,'Cost Analysis pg 4'!$A:$A,0))*'Cost Analysis pg 4'!$O$52</f>
        <v>4.478697330427079</v>
      </c>
      <c r="L28" s="8">
        <f t="shared" si="3"/>
        <v>11249.412532747076</v>
      </c>
    </row>
    <row r="29" spans="1:12">
      <c r="A29" s="4" t="s">
        <v>28</v>
      </c>
      <c r="B29">
        <v>51</v>
      </c>
      <c r="C29" t="s">
        <v>19</v>
      </c>
      <c r="D29" t="s">
        <v>58</v>
      </c>
      <c r="E29" s="6">
        <v>1224.931672702</v>
      </c>
      <c r="F29" s="7">
        <v>6.97</v>
      </c>
      <c r="G29" s="8">
        <f t="shared" si="2"/>
        <v>8537.7737587329393</v>
      </c>
      <c r="I29" s="4" t="s">
        <v>69</v>
      </c>
      <c r="J29">
        <v>51</v>
      </c>
      <c r="K29" s="7">
        <f>INDEX('Cost Analysis pg 4'!$P:$P,MATCH(I29,'Cost Analysis pg 4'!$A:$A,0))*'Cost Analysis pg 4'!$O$52</f>
        <v>4.8581849879581815</v>
      </c>
      <c r="L29" s="8">
        <f t="shared" si="3"/>
        <v>5950.9446635953609</v>
      </c>
    </row>
    <row r="30" spans="1:12">
      <c r="A30" s="4" t="s">
        <v>29</v>
      </c>
      <c r="B30">
        <v>51</v>
      </c>
      <c r="C30" t="s">
        <v>19</v>
      </c>
      <c r="D30" t="s">
        <v>58</v>
      </c>
      <c r="E30" s="6">
        <v>21.048507462686601</v>
      </c>
      <c r="F30" s="7">
        <v>7.97</v>
      </c>
      <c r="G30" s="8">
        <f t="shared" si="2"/>
        <v>167.7566044776122</v>
      </c>
      <c r="I30" s="4" t="s">
        <v>70</v>
      </c>
      <c r="J30">
        <v>51</v>
      </c>
      <c r="K30" s="7">
        <f>INDEX('Cost Analysis pg 4'!$P:$P,MATCH(I30,'Cost Analysis pg 4'!$A:$A,0))*'Cost Analysis pg 4'!$O$52</f>
        <v>5.1491972158390844</v>
      </c>
      <c r="L30" s="8">
        <f t="shared" si="3"/>
        <v>108.38291602443404</v>
      </c>
    </row>
    <row r="31" spans="1:12">
      <c r="A31" s="4" t="s">
        <v>30</v>
      </c>
      <c r="B31">
        <v>51</v>
      </c>
      <c r="C31" t="s">
        <v>19</v>
      </c>
      <c r="D31" t="s">
        <v>58</v>
      </c>
      <c r="E31" s="6">
        <v>1847.76591955096</v>
      </c>
      <c r="F31" s="7">
        <v>8.1300000000000008</v>
      </c>
      <c r="G31" s="8">
        <f t="shared" si="2"/>
        <v>15022.336925949307</v>
      </c>
      <c r="I31" s="4" t="s">
        <v>71</v>
      </c>
      <c r="J31">
        <v>51</v>
      </c>
      <c r="K31" s="7">
        <f>INDEX('Cost Analysis pg 4'!$P:$P,MATCH(I31,'Cost Analysis pg 4'!$A:$A,0))*'Cost Analysis pg 4'!$O$52</f>
        <v>5.4633733739699553</v>
      </c>
      <c r="L31" s="8">
        <f t="shared" si="3"/>
        <v>10095.035126203826</v>
      </c>
    </row>
    <row r="32" spans="1:12">
      <c r="A32" s="4" t="s">
        <v>31</v>
      </c>
      <c r="B32">
        <v>51</v>
      </c>
      <c r="C32" t="s">
        <v>19</v>
      </c>
      <c r="D32" t="s">
        <v>58</v>
      </c>
      <c r="E32" s="6">
        <v>164.16525779691301</v>
      </c>
      <c r="F32" s="7">
        <v>10.56</v>
      </c>
      <c r="G32" s="8">
        <f t="shared" si="2"/>
        <v>1733.5851223354014</v>
      </c>
      <c r="I32" s="4" t="s">
        <v>72</v>
      </c>
      <c r="J32">
        <v>51</v>
      </c>
      <c r="K32" s="7">
        <f>INDEX('Cost Analysis pg 4'!$P:$P,MATCH(I32,'Cost Analysis pg 4'!$A:$A,0))*'Cost Analysis pg 4'!$O$52</f>
        <v>5.8460007865362273</v>
      </c>
      <c r="L32" s="8">
        <f t="shared" si="3"/>
        <v>959.71022620267604</v>
      </c>
    </row>
    <row r="33" spans="1:13">
      <c r="A33" s="4" t="s">
        <v>32</v>
      </c>
      <c r="B33">
        <v>51</v>
      </c>
      <c r="C33" t="s">
        <v>19</v>
      </c>
      <c r="D33" t="s">
        <v>58</v>
      </c>
      <c r="E33" s="6">
        <v>648.34196374959504</v>
      </c>
      <c r="F33" s="7">
        <v>12.09</v>
      </c>
      <c r="G33" s="8">
        <f t="shared" si="2"/>
        <v>7838.454341732604</v>
      </c>
      <c r="I33" s="4" t="s">
        <v>73</v>
      </c>
      <c r="J33">
        <v>51</v>
      </c>
      <c r="K33" s="7">
        <f>INDEX('Cost Analysis pg 4'!$P:$P,MATCH(I33,'Cost Analysis pg 4'!$A:$A,0))*'Cost Analysis pg 4'!$O$52</f>
        <v>7.1494380067542433</v>
      </c>
      <c r="L33" s="8">
        <f t="shared" si="3"/>
        <v>4635.2806770050365</v>
      </c>
    </row>
    <row r="34" spans="1:13">
      <c r="A34" s="4" t="s">
        <v>275</v>
      </c>
      <c r="B34">
        <v>51</v>
      </c>
      <c r="C34" t="s">
        <v>19</v>
      </c>
      <c r="D34" t="s">
        <v>58</v>
      </c>
      <c r="E34" s="6">
        <v>11400.039491543301</v>
      </c>
      <c r="F34" s="7">
        <v>8.93</v>
      </c>
      <c r="G34" s="8">
        <f t="shared" si="2"/>
        <v>101802.35265948168</v>
      </c>
      <c r="I34" s="4" t="s">
        <v>62</v>
      </c>
      <c r="J34">
        <v>51</v>
      </c>
      <c r="K34" s="7">
        <f>INDEX('Cost Analysis pg 4'!$P:$P,MATCH(I34,'Cost Analysis pg 4'!$A:$A,0))*'Cost Analysis pg 4'!$O$52</f>
        <v>9.06061272710647</v>
      </c>
      <c r="L34" s="8">
        <f t="shared" si="3"/>
        <v>103291.34290659361</v>
      </c>
      <c r="M34" s="7"/>
    </row>
    <row r="35" spans="1:13">
      <c r="A35" s="4" t="s">
        <v>278</v>
      </c>
      <c r="B35">
        <v>51</v>
      </c>
      <c r="C35" t="s">
        <v>19</v>
      </c>
      <c r="D35" t="s">
        <v>58</v>
      </c>
      <c r="E35" s="6">
        <v>17310.1784326038</v>
      </c>
      <c r="F35" s="7">
        <v>10.72</v>
      </c>
      <c r="G35" s="8">
        <f t="shared" si="2"/>
        <v>185565.11279751273</v>
      </c>
      <c r="I35" s="4" t="s">
        <v>63</v>
      </c>
      <c r="J35">
        <v>51</v>
      </c>
      <c r="K35" s="7">
        <f>INDEX('Cost Analysis pg 4'!$P:$P,MATCH(I35,'Cost Analysis pg 4'!$A:$A,0))*'Cost Analysis pg 4'!$O$52</f>
        <v>9.750284600290092</v>
      </c>
      <c r="L35" s="8">
        <f t="shared" si="3"/>
        <v>168779.16619969052</v>
      </c>
      <c r="M35" s="7"/>
    </row>
    <row r="36" spans="1:13">
      <c r="A36" s="4" t="s">
        <v>279</v>
      </c>
      <c r="B36">
        <v>51</v>
      </c>
      <c r="C36" t="s">
        <v>19</v>
      </c>
      <c r="D36" t="s">
        <v>58</v>
      </c>
      <c r="E36" s="6">
        <v>1065.5868126631899</v>
      </c>
      <c r="F36" s="7">
        <v>13.69</v>
      </c>
      <c r="G36" s="8">
        <f t="shared" si="2"/>
        <v>14587.883465359069</v>
      </c>
      <c r="I36" s="4" t="s">
        <v>64</v>
      </c>
      <c r="J36">
        <v>51</v>
      </c>
      <c r="K36" s="7">
        <f>INDEX('Cost Analysis pg 4'!$P:$P,MATCH(I36,'Cost Analysis pg 4'!$A:$A,0))*'Cost Analysis pg 4'!$O$52</f>
        <v>10.062408534927952</v>
      </c>
      <c r="L36" s="8">
        <f t="shared" si="3"/>
        <v>10722.369838448754</v>
      </c>
      <c r="M36" s="7"/>
    </row>
    <row r="37" spans="1:13">
      <c r="A37" s="4" t="s">
        <v>276</v>
      </c>
      <c r="B37">
        <v>51</v>
      </c>
      <c r="C37" t="s">
        <v>19</v>
      </c>
      <c r="D37" t="s">
        <v>58</v>
      </c>
      <c r="E37" s="6">
        <v>16337.519049537101</v>
      </c>
      <c r="F37" s="7">
        <v>15.63</v>
      </c>
      <c r="G37" s="8">
        <f t="shared" si="2"/>
        <v>255355.42274426488</v>
      </c>
      <c r="I37" s="4" t="s">
        <v>65</v>
      </c>
      <c r="J37">
        <v>51</v>
      </c>
      <c r="K37" s="7">
        <f>INDEX('Cost Analysis pg 4'!$P:$P,MATCH(I37,'Cost Analysis pg 4'!$A:$A,0))*'Cost Analysis pg 4'!$O$52</f>
        <v>10.421313441803219</v>
      </c>
      <c r="L37" s="8">
        <f t="shared" si="3"/>
        <v>170258.40687665716</v>
      </c>
      <c r="M37" s="7"/>
    </row>
    <row r="38" spans="1:13">
      <c r="A38" s="4" t="s">
        <v>280</v>
      </c>
      <c r="B38">
        <v>51</v>
      </c>
      <c r="C38" t="s">
        <v>19</v>
      </c>
      <c r="D38" t="s">
        <v>58</v>
      </c>
      <c r="E38" s="6">
        <v>1995.29440937456</v>
      </c>
      <c r="F38" s="7">
        <v>19.8</v>
      </c>
      <c r="G38" s="8">
        <f t="shared" si="2"/>
        <v>39506.829305616287</v>
      </c>
      <c r="I38" s="4" t="s">
        <v>66</v>
      </c>
      <c r="J38">
        <v>51</v>
      </c>
      <c r="K38" s="7">
        <f>INDEX('Cost Analysis pg 4'!$P:$P,MATCH(I38,'Cost Analysis pg 4'!$A:$A,0))*'Cost Analysis pg 4'!$O$52</f>
        <v>11.078121180151831</v>
      </c>
      <c r="L38" s="8">
        <f t="shared" si="3"/>
        <v>22104.113257130852</v>
      </c>
      <c r="M38" s="7"/>
    </row>
    <row r="39" spans="1:13">
      <c r="A39" s="4" t="s">
        <v>277</v>
      </c>
      <c r="B39">
        <v>51</v>
      </c>
      <c r="C39" t="s">
        <v>19</v>
      </c>
      <c r="D39" t="s">
        <v>58</v>
      </c>
      <c r="E39" s="6">
        <v>2706.90940145997</v>
      </c>
      <c r="F39" s="7">
        <v>26.16</v>
      </c>
      <c r="G39" s="8">
        <f t="shared" si="2"/>
        <v>70812.749942192822</v>
      </c>
      <c r="I39" s="4" t="s">
        <v>67</v>
      </c>
      <c r="J39">
        <v>51</v>
      </c>
      <c r="K39" s="7">
        <f>INDEX('Cost Analysis pg 4'!$P:$P,MATCH(I39,'Cost Analysis pg 4'!$A:$A,0))*'Cost Analysis pg 4'!$O$52</f>
        <v>13.516289609407146</v>
      </c>
      <c r="L39" s="8">
        <f t="shared" si="3"/>
        <v>36587.371416559909</v>
      </c>
      <c r="M39" s="7"/>
    </row>
    <row r="40" spans="1:13">
      <c r="A40" s="4" t="s">
        <v>281</v>
      </c>
      <c r="B40">
        <v>51</v>
      </c>
      <c r="C40" t="s">
        <v>19</v>
      </c>
      <c r="D40" t="s">
        <v>58</v>
      </c>
      <c r="E40" s="6">
        <v>0</v>
      </c>
      <c r="F40" s="7">
        <v>34.03</v>
      </c>
      <c r="G40" s="8">
        <f t="shared" si="2"/>
        <v>0</v>
      </c>
      <c r="I40" s="4" t="s">
        <v>274</v>
      </c>
      <c r="K40" s="7"/>
      <c r="L40" s="8"/>
    </row>
    <row r="41" spans="1:13">
      <c r="A41" s="4" t="s">
        <v>282</v>
      </c>
      <c r="B41">
        <v>51</v>
      </c>
      <c r="C41" t="s">
        <v>19</v>
      </c>
      <c r="D41" t="s">
        <v>58</v>
      </c>
      <c r="E41" s="6">
        <v>0</v>
      </c>
      <c r="F41" s="7">
        <v>26.46</v>
      </c>
      <c r="G41" s="8">
        <f t="shared" si="2"/>
        <v>0</v>
      </c>
      <c r="I41" s="4" t="s">
        <v>274</v>
      </c>
      <c r="K41" s="7"/>
      <c r="L41" s="8"/>
    </row>
    <row r="42" spans="1:13">
      <c r="A42" s="4" t="s">
        <v>283</v>
      </c>
      <c r="B42">
        <v>51</v>
      </c>
      <c r="C42" t="s">
        <v>19</v>
      </c>
      <c r="D42" t="s">
        <v>58</v>
      </c>
      <c r="E42" s="6">
        <v>47.999893788498298</v>
      </c>
      <c r="F42" s="7">
        <v>35.25</v>
      </c>
      <c r="G42" s="8">
        <f t="shared" si="2"/>
        <v>1691.9962560445649</v>
      </c>
      <c r="I42" s="4" t="s">
        <v>318</v>
      </c>
      <c r="J42">
        <v>51</v>
      </c>
      <c r="K42" s="7">
        <f>INDEX('Cost Analysis pg 4'!$P:$P,MATCH(I42,'Cost Analysis pg 4'!$A:$A,0))*'Cost Analysis pg 4'!$O$52</f>
        <v>17.950460517001254</v>
      </c>
      <c r="L42" s="8">
        <f t="shared" si="3"/>
        <v>861.62019827069241</v>
      </c>
    </row>
    <row r="43" spans="1:13">
      <c r="A43" s="4" t="s">
        <v>284</v>
      </c>
      <c r="B43">
        <v>51</v>
      </c>
      <c r="C43" t="s">
        <v>19</v>
      </c>
      <c r="D43" t="s">
        <v>58</v>
      </c>
      <c r="E43" s="6">
        <v>0</v>
      </c>
      <c r="F43" s="7">
        <v>27.72</v>
      </c>
      <c r="G43" s="8">
        <f t="shared" si="2"/>
        <v>0</v>
      </c>
      <c r="I43" s="4" t="s">
        <v>274</v>
      </c>
      <c r="K43" s="7"/>
      <c r="L43" s="8"/>
    </row>
    <row r="44" spans="1:13">
      <c r="E44" s="6"/>
      <c r="F44" s="7"/>
      <c r="G44" s="8"/>
      <c r="K44" s="8"/>
      <c r="L44" s="7"/>
    </row>
    <row r="45" spans="1:13">
      <c r="A45" s="5" t="s">
        <v>20</v>
      </c>
      <c r="B45">
        <v>52</v>
      </c>
      <c r="C45" t="s">
        <v>19</v>
      </c>
      <c r="E45" s="6"/>
      <c r="F45" s="7"/>
      <c r="G45" s="8"/>
      <c r="K45" s="8"/>
      <c r="L45" s="7"/>
    </row>
    <row r="46" spans="1:13">
      <c r="A46" s="5" t="s">
        <v>285</v>
      </c>
      <c r="B46">
        <v>52</v>
      </c>
      <c r="C46" t="s">
        <v>19</v>
      </c>
      <c r="D46" t="s">
        <v>58</v>
      </c>
      <c r="E46" s="6">
        <v>99.496169348787106</v>
      </c>
      <c r="F46" s="7">
        <v>7.7059299999999995</v>
      </c>
      <c r="G46" s="8">
        <f t="shared" ref="G46:G55" si="4">E46*F46</f>
        <v>766.71051626989902</v>
      </c>
      <c r="I46" s="4" t="s">
        <v>62</v>
      </c>
      <c r="J46">
        <v>51</v>
      </c>
      <c r="K46" s="7">
        <f>INDEX('Cost Analysis pg 4'!$P:$P,MATCH(I46,'Cost Analysis pg 4'!$A:$A,0))*'Cost Analysis pg 4'!$O$52</f>
        <v>9.06061272710647</v>
      </c>
      <c r="L46" s="8">
        <f t="shared" ref="L46:L55" si="5">K46*E46</f>
        <v>901.49625829996114</v>
      </c>
    </row>
    <row r="47" spans="1:13">
      <c r="A47" s="5" t="s">
        <v>286</v>
      </c>
      <c r="B47">
        <v>52</v>
      </c>
      <c r="C47" t="s">
        <v>19</v>
      </c>
      <c r="D47" t="s">
        <v>58</v>
      </c>
      <c r="E47" s="6">
        <v>24.332031803880973</v>
      </c>
      <c r="F47" s="7">
        <v>11.786789999999996</v>
      </c>
      <c r="G47" s="8">
        <f t="shared" si="4"/>
        <v>286.79654914566612</v>
      </c>
      <c r="I47" s="4" t="s">
        <v>62</v>
      </c>
      <c r="J47">
        <v>51</v>
      </c>
      <c r="K47" s="7">
        <f>INDEX('Cost Analysis pg 4'!$P:$P,MATCH(I47,'Cost Analysis pg 4'!$A:$A,0))*'Cost Analysis pg 4'!$O$52</f>
        <v>9.06061272710647</v>
      </c>
      <c r="L47" s="8">
        <f t="shared" si="5"/>
        <v>220.46311703860334</v>
      </c>
    </row>
    <row r="48" spans="1:13">
      <c r="A48" s="5" t="s">
        <v>287</v>
      </c>
      <c r="B48">
        <v>52</v>
      </c>
      <c r="C48" t="s">
        <v>19</v>
      </c>
      <c r="D48" t="s">
        <v>58</v>
      </c>
      <c r="E48" s="6">
        <v>36.498764729996658</v>
      </c>
      <c r="F48" s="7">
        <v>15.682830000000017</v>
      </c>
      <c r="G48" s="8">
        <f t="shared" si="4"/>
        <v>572.4039224705341</v>
      </c>
      <c r="I48" s="4" t="s">
        <v>62</v>
      </c>
      <c r="J48">
        <v>51</v>
      </c>
      <c r="K48" s="7">
        <f>INDEX('Cost Analysis pg 4'!$P:$P,MATCH(I48,'Cost Analysis pg 4'!$A:$A,0))*'Cost Analysis pg 4'!$O$52</f>
        <v>9.06061272710647</v>
      </c>
      <c r="L48" s="8">
        <f t="shared" si="5"/>
        <v>330.70117223627244</v>
      </c>
    </row>
    <row r="49" spans="1:14">
      <c r="A49" s="5" t="s">
        <v>288</v>
      </c>
      <c r="B49">
        <v>52</v>
      </c>
      <c r="C49" t="s">
        <v>19</v>
      </c>
      <c r="D49" t="s">
        <v>58</v>
      </c>
      <c r="E49" s="6">
        <v>1010.4977586769608</v>
      </c>
      <c r="F49" s="7">
        <v>11.736039999999974</v>
      </c>
      <c r="G49" s="8">
        <f t="shared" si="4"/>
        <v>11859.242115743133</v>
      </c>
      <c r="I49" s="4" t="s">
        <v>63</v>
      </c>
      <c r="J49">
        <v>51</v>
      </c>
      <c r="K49" s="7">
        <f>INDEX('Cost Analysis pg 4'!$P:$P,MATCH(I49,'Cost Analysis pg 4'!$A:$A,0))*'Cost Analysis pg 4'!$O$52</f>
        <v>9.750284600290092</v>
      </c>
      <c r="L49" s="8">
        <f t="shared" si="5"/>
        <v>9852.6407350556237</v>
      </c>
    </row>
    <row r="50" spans="1:14">
      <c r="A50" s="5" t="s">
        <v>289</v>
      </c>
      <c r="B50">
        <v>52</v>
      </c>
      <c r="C50" t="s">
        <v>19</v>
      </c>
      <c r="D50" t="s">
        <v>58</v>
      </c>
      <c r="E50" s="6">
        <v>269.16686711653091</v>
      </c>
      <c r="F50" s="7">
        <v>12.286040000000021</v>
      </c>
      <c r="G50" s="8">
        <f t="shared" si="4"/>
        <v>3306.9948960683892</v>
      </c>
      <c r="I50" s="4" t="s">
        <v>63</v>
      </c>
      <c r="J50">
        <v>51</v>
      </c>
      <c r="K50" s="7">
        <f>INDEX('Cost Analysis pg 4'!$P:$P,MATCH(I50,'Cost Analysis pg 4'!$A:$A,0))*'Cost Analysis pg 4'!$O$52</f>
        <v>9.750284600290092</v>
      </c>
      <c r="L50" s="8">
        <f t="shared" si="5"/>
        <v>2624.4535593546407</v>
      </c>
    </row>
    <row r="51" spans="1:14">
      <c r="A51" s="5" t="s">
        <v>290</v>
      </c>
      <c r="B51">
        <v>52</v>
      </c>
      <c r="C51" t="s">
        <v>19</v>
      </c>
      <c r="D51" t="s">
        <v>58</v>
      </c>
      <c r="E51" s="6">
        <v>23.997709308453953</v>
      </c>
      <c r="F51" s="7">
        <v>16.084850000000017</v>
      </c>
      <c r="G51" s="8">
        <f t="shared" si="4"/>
        <v>385.99955457008599</v>
      </c>
      <c r="I51" s="4" t="s">
        <v>65</v>
      </c>
      <c r="J51">
        <v>51</v>
      </c>
      <c r="K51" s="7">
        <f>INDEX('Cost Analysis pg 4'!$P:$P,MATCH(I51,'Cost Analysis pg 4'!$A:$A,0))*'Cost Analysis pg 4'!$O$52</f>
        <v>10.421313441803219</v>
      </c>
      <c r="L51" s="8">
        <f t="shared" si="5"/>
        <v>250.08765058867741</v>
      </c>
    </row>
    <row r="52" spans="1:14">
      <c r="A52" s="5" t="s">
        <v>291</v>
      </c>
      <c r="B52">
        <v>52</v>
      </c>
      <c r="C52" t="s">
        <v>19</v>
      </c>
      <c r="D52" t="s">
        <v>58</v>
      </c>
      <c r="E52" s="6">
        <v>12.26821149748088</v>
      </c>
      <c r="F52" s="7">
        <v>16.734849999999955</v>
      </c>
      <c r="G52" s="8">
        <f t="shared" si="4"/>
        <v>205.30667917861737</v>
      </c>
      <c r="I52" s="4" t="s">
        <v>65</v>
      </c>
      <c r="J52">
        <v>51</v>
      </c>
      <c r="K52" s="7">
        <f>INDEX('Cost Analysis pg 4'!$P:$P,MATCH(I52,'Cost Analysis pg 4'!$A:$A,0))*'Cost Analysis pg 4'!$O$52</f>
        <v>10.421313441803219</v>
      </c>
      <c r="L52" s="8">
        <f t="shared" si="5"/>
        <v>127.85087738558231</v>
      </c>
    </row>
    <row r="53" spans="1:14">
      <c r="A53" s="5" t="s">
        <v>292</v>
      </c>
      <c r="B53">
        <v>52</v>
      </c>
      <c r="C53" t="s">
        <v>19</v>
      </c>
      <c r="D53" t="s">
        <v>58</v>
      </c>
      <c r="E53" s="6">
        <v>732.73055297096528</v>
      </c>
      <c r="F53" s="7">
        <v>17.274849999999994</v>
      </c>
      <c r="G53" s="8">
        <f t="shared" si="4"/>
        <v>12657.810392990476</v>
      </c>
      <c r="I53" s="4" t="s">
        <v>65</v>
      </c>
      <c r="J53">
        <v>51</v>
      </c>
      <c r="K53" s="7">
        <f>INDEX('Cost Analysis pg 4'!$P:$P,MATCH(I53,'Cost Analysis pg 4'!$A:$A,0))*'Cost Analysis pg 4'!$O$52</f>
        <v>10.421313441803219</v>
      </c>
      <c r="L53" s="8">
        <f t="shared" si="5"/>
        <v>7636.0147608962261</v>
      </c>
    </row>
    <row r="54" spans="1:14">
      <c r="A54" s="5" t="s">
        <v>293</v>
      </c>
      <c r="B54">
        <v>52</v>
      </c>
      <c r="C54" t="s">
        <v>19</v>
      </c>
      <c r="D54" t="s">
        <v>58</v>
      </c>
      <c r="E54" s="6">
        <v>12.267523512745923</v>
      </c>
      <c r="F54" s="7">
        <v>12.613159999999979</v>
      </c>
      <c r="G54" s="8">
        <f t="shared" si="4"/>
        <v>154.7322368700261</v>
      </c>
      <c r="I54" s="4" t="s">
        <v>62</v>
      </c>
      <c r="J54">
        <v>51</v>
      </c>
      <c r="K54" s="7">
        <f>INDEX('Cost Analysis pg 4'!$P:$P,MATCH(I54,'Cost Analysis pg 4'!$A:$A,0))*'Cost Analysis pg 4'!$O$52</f>
        <v>9.06061272710647</v>
      </c>
      <c r="L54" s="8">
        <f t="shared" si="5"/>
        <v>111.15127966966358</v>
      </c>
    </row>
    <row r="55" spans="1:14">
      <c r="A55" s="5" t="s">
        <v>294</v>
      </c>
      <c r="B55">
        <v>52</v>
      </c>
      <c r="C55" t="s">
        <v>19</v>
      </c>
      <c r="D55" t="s">
        <v>58</v>
      </c>
      <c r="E55" s="6">
        <v>12.001987868321439</v>
      </c>
      <c r="F55" s="7">
        <v>15.96452000000002</v>
      </c>
      <c r="G55" s="8">
        <f t="shared" si="4"/>
        <v>191.60597536357523</v>
      </c>
      <c r="I55" s="4" t="s">
        <v>65</v>
      </c>
      <c r="J55">
        <v>51</v>
      </c>
      <c r="K55" s="7">
        <f>INDEX('Cost Analysis pg 4'!$P:$P,MATCH(I55,'Cost Analysis pg 4'!$A:$A,0))*'Cost Analysis pg 4'!$O$52</f>
        <v>10.421313441803219</v>
      </c>
      <c r="L55" s="8">
        <f t="shared" si="5"/>
        <v>125.07647750049739</v>
      </c>
    </row>
    <row r="56" spans="1:14">
      <c r="E56" s="6"/>
      <c r="F56" s="7"/>
      <c r="G56" s="8"/>
      <c r="K56" s="8"/>
      <c r="L56" s="7"/>
    </row>
    <row r="57" spans="1:14">
      <c r="A57" s="5" t="s">
        <v>34</v>
      </c>
      <c r="B57">
        <v>53</v>
      </c>
      <c r="C57" t="s">
        <v>33</v>
      </c>
      <c r="D57" t="s">
        <v>59</v>
      </c>
      <c r="E57" s="6">
        <v>3695896.7353539728</v>
      </c>
      <c r="F57" s="9">
        <v>7.2150000000000006E-2</v>
      </c>
      <c r="G57" s="8">
        <f t="shared" ref="G57" si="6">E57*F57</f>
        <v>266658.94945578917</v>
      </c>
      <c r="I57" s="5" t="s">
        <v>34</v>
      </c>
      <c r="J57">
        <v>53</v>
      </c>
      <c r="K57" s="9">
        <f>'Cost Analysis pg 4'!P34</f>
        <v>4.9146250013449189E-2</v>
      </c>
      <c r="L57" s="8">
        <f t="shared" ref="L57" si="7">K57*E57</f>
        <v>181639.46497959699</v>
      </c>
      <c r="N57">
        <f>K57/F57</f>
        <v>0.68116770635411206</v>
      </c>
    </row>
    <row r="58" spans="1:14">
      <c r="E58" s="6"/>
      <c r="F58" s="7"/>
      <c r="G58" s="8"/>
      <c r="K58" s="8"/>
      <c r="L58" s="7"/>
    </row>
    <row r="59" spans="1:14">
      <c r="A59" t="s">
        <v>35</v>
      </c>
      <c r="B59">
        <v>54</v>
      </c>
      <c r="C59" t="s">
        <v>33</v>
      </c>
      <c r="E59" s="6"/>
      <c r="F59" s="7"/>
      <c r="G59" s="8"/>
      <c r="I59" t="s">
        <v>35</v>
      </c>
      <c r="J59">
        <v>54</v>
      </c>
      <c r="K59" s="8"/>
      <c r="L59" s="7"/>
    </row>
    <row r="60" spans="1:14">
      <c r="A60" s="4" t="s">
        <v>36</v>
      </c>
      <c r="B60">
        <v>54</v>
      </c>
      <c r="C60" t="s">
        <v>33</v>
      </c>
      <c r="D60" t="s">
        <v>60</v>
      </c>
      <c r="E60" s="6">
        <v>144</v>
      </c>
      <c r="F60" s="7">
        <v>3.9</v>
      </c>
      <c r="G60" s="8">
        <f t="shared" ref="G60:G62" si="8">E60*F60</f>
        <v>561.6</v>
      </c>
      <c r="I60" s="4" t="s">
        <v>36</v>
      </c>
      <c r="J60">
        <v>54</v>
      </c>
      <c r="K60" s="7">
        <f>('Cost Analysis pg 4'!$K$36*1000)/SUM($G$60:$G$61)*F60</f>
        <v>11.107208027233989</v>
      </c>
      <c r="L60" s="8">
        <f t="shared" ref="L60:L61" si="9">K60*E60</f>
        <v>1599.4379559216945</v>
      </c>
    </row>
    <row r="61" spans="1:14">
      <c r="A61" s="4" t="s">
        <v>37</v>
      </c>
      <c r="B61">
        <v>54</v>
      </c>
      <c r="C61" t="s">
        <v>33</v>
      </c>
      <c r="D61" t="s">
        <v>60</v>
      </c>
      <c r="E61" s="6">
        <v>180</v>
      </c>
      <c r="F61" s="7">
        <v>7</v>
      </c>
      <c r="G61" s="8">
        <f t="shared" si="8"/>
        <v>1260</v>
      </c>
      <c r="I61" s="4" t="s">
        <v>37</v>
      </c>
      <c r="J61">
        <v>54</v>
      </c>
      <c r="K61" s="7">
        <f>('Cost Analysis pg 4'!$K$36*1000)/SUM($G$60:$G$61)*F61</f>
        <v>19.936014407855879</v>
      </c>
      <c r="L61" s="8">
        <f t="shared" si="9"/>
        <v>3588.4825934140581</v>
      </c>
    </row>
    <row r="62" spans="1:14">
      <c r="A62" s="4" t="s">
        <v>38</v>
      </c>
      <c r="B62">
        <v>54</v>
      </c>
      <c r="C62" t="s">
        <v>33</v>
      </c>
      <c r="D62" t="s">
        <v>59</v>
      </c>
      <c r="E62" s="6">
        <v>282712</v>
      </c>
      <c r="F62" s="9">
        <v>8.5819999999999994E-2</v>
      </c>
      <c r="G62" s="8">
        <f t="shared" si="8"/>
        <v>24262.343839999998</v>
      </c>
      <c r="I62" s="4" t="s">
        <v>38</v>
      </c>
      <c r="J62">
        <v>54</v>
      </c>
      <c r="K62" s="9">
        <f>L62/E62</f>
        <v>4.6487864249372901E-2</v>
      </c>
      <c r="L62" s="8">
        <f>'Cost Analysis pg 4'!O36*1000-L60-L61</f>
        <v>13142.677077668712</v>
      </c>
    </row>
    <row r="63" spans="1:14">
      <c r="E63" s="6"/>
      <c r="F63" s="7"/>
      <c r="G63" s="8"/>
      <c r="K63" s="8"/>
      <c r="L63" s="7"/>
    </row>
    <row r="64" spans="1:14">
      <c r="A64" s="5" t="s">
        <v>39</v>
      </c>
      <c r="B64">
        <v>57</v>
      </c>
      <c r="C64" t="s">
        <v>19</v>
      </c>
      <c r="E64" s="6"/>
      <c r="F64" s="7"/>
      <c r="G64" s="8"/>
      <c r="I64" s="5" t="s">
        <v>20</v>
      </c>
      <c r="J64">
        <v>51</v>
      </c>
      <c r="K64" s="7"/>
      <c r="L64" s="8"/>
    </row>
    <row r="65" spans="1:12">
      <c r="A65" s="4" t="s">
        <v>40</v>
      </c>
      <c r="B65">
        <v>57</v>
      </c>
      <c r="C65" t="s">
        <v>19</v>
      </c>
      <c r="D65" t="s">
        <v>58</v>
      </c>
      <c r="E65" s="6">
        <v>11337.526455606199</v>
      </c>
      <c r="F65" s="7">
        <v>10.29</v>
      </c>
      <c r="G65" s="8">
        <f t="shared" ref="G65:G82" si="10">E65*F65</f>
        <v>116663.14722818778</v>
      </c>
      <c r="I65" s="4" t="s">
        <v>62</v>
      </c>
      <c r="J65">
        <v>51</v>
      </c>
      <c r="K65" s="7">
        <f>INDEX('Cost Analysis pg 4'!$P:$P,MATCH(I65,'Cost Analysis pg 4'!$A:$A,0))*'Cost Analysis pg 4'!$O$52</f>
        <v>9.06061272710647</v>
      </c>
      <c r="L65" s="8">
        <f t="shared" ref="L65" si="11">K65*E65</f>
        <v>102724.93649757183</v>
      </c>
    </row>
    <row r="66" spans="1:12">
      <c r="A66" s="4" t="s">
        <v>41</v>
      </c>
      <c r="B66">
        <v>57</v>
      </c>
      <c r="C66" t="s">
        <v>19</v>
      </c>
      <c r="D66" t="s">
        <v>58</v>
      </c>
      <c r="E66" s="6">
        <v>922.24583777958799</v>
      </c>
      <c r="F66" s="7">
        <v>18.829999999999998</v>
      </c>
      <c r="G66" s="8">
        <f t="shared" si="10"/>
        <v>17365.88912538964</v>
      </c>
      <c r="I66" s="4" t="s">
        <v>65</v>
      </c>
      <c r="J66">
        <v>51</v>
      </c>
      <c r="K66" s="7">
        <f>INDEX('Cost Analysis pg 4'!$P:$P,MATCH(I66,'Cost Analysis pg 4'!$A:$A,0))*'Cost Analysis pg 4'!$O$52</f>
        <v>10.421313441803219</v>
      </c>
      <c r="L66" s="8">
        <f t="shared" ref="L66:L82" si="12">K66*E66</f>
        <v>9611.0129458994925</v>
      </c>
    </row>
    <row r="67" spans="1:12">
      <c r="A67" s="4" t="s">
        <v>42</v>
      </c>
      <c r="B67">
        <v>57</v>
      </c>
      <c r="C67" t="s">
        <v>19</v>
      </c>
      <c r="D67" t="s">
        <v>58</v>
      </c>
      <c r="E67" s="6">
        <v>0</v>
      </c>
      <c r="F67" s="7">
        <v>38.08</v>
      </c>
      <c r="G67" s="8">
        <f t="shared" si="10"/>
        <v>0</v>
      </c>
      <c r="I67" s="4" t="s">
        <v>67</v>
      </c>
      <c r="J67">
        <v>51</v>
      </c>
      <c r="K67" s="7">
        <f>INDEX('Cost Analysis pg 4'!$P:$P,MATCH(I67,'Cost Analysis pg 4'!$A:$A,0))*'Cost Analysis pg 4'!$O$52</f>
        <v>13.516289609407146</v>
      </c>
      <c r="L67" s="8">
        <f t="shared" si="12"/>
        <v>0</v>
      </c>
    </row>
    <row r="68" spans="1:12">
      <c r="A68" s="4" t="s">
        <v>43</v>
      </c>
      <c r="B68">
        <v>57</v>
      </c>
      <c r="C68" t="s">
        <v>19</v>
      </c>
      <c r="D68" t="s">
        <v>58</v>
      </c>
      <c r="E68" s="6">
        <v>3195.22491672157</v>
      </c>
      <c r="F68" s="7">
        <v>9.65</v>
      </c>
      <c r="G68" s="8">
        <f t="shared" si="10"/>
        <v>30833.92044636315</v>
      </c>
      <c r="I68" s="4" t="s">
        <v>62</v>
      </c>
      <c r="J68">
        <v>51</v>
      </c>
      <c r="K68" s="7">
        <f>INDEX('Cost Analysis pg 4'!$P:$P,MATCH(I68,'Cost Analysis pg 4'!$A:$A,0))*'Cost Analysis pg 4'!$O$52</f>
        <v>9.06061272710647</v>
      </c>
      <c r="L68" s="8">
        <f t="shared" si="12"/>
        <v>28950.695546415169</v>
      </c>
    </row>
    <row r="69" spans="1:12">
      <c r="A69" s="4" t="s">
        <v>44</v>
      </c>
      <c r="B69">
        <v>57</v>
      </c>
      <c r="C69" t="s">
        <v>19</v>
      </c>
      <c r="D69" t="s">
        <v>58</v>
      </c>
      <c r="E69" s="6">
        <v>0</v>
      </c>
      <c r="F69" s="7">
        <v>17.57</v>
      </c>
      <c r="G69" s="8">
        <f t="shared" si="10"/>
        <v>0</v>
      </c>
      <c r="I69" s="4" t="s">
        <v>65</v>
      </c>
      <c r="J69">
        <v>51</v>
      </c>
      <c r="K69" s="7">
        <f>INDEX('Cost Analysis pg 4'!$P:$P,MATCH(I69,'Cost Analysis pg 4'!$A:$A,0))*'Cost Analysis pg 4'!$O$52</f>
        <v>10.421313441803219</v>
      </c>
      <c r="L69" s="8">
        <f t="shared" si="12"/>
        <v>0</v>
      </c>
    </row>
    <row r="70" spans="1:12">
      <c r="A70" s="4" t="s">
        <v>45</v>
      </c>
      <c r="B70">
        <v>57</v>
      </c>
      <c r="C70" t="s">
        <v>19</v>
      </c>
      <c r="D70" t="s">
        <v>58</v>
      </c>
      <c r="E70" s="6">
        <v>409.000689070249</v>
      </c>
      <c r="F70" s="7">
        <v>13.44</v>
      </c>
      <c r="G70" s="8">
        <f t="shared" si="10"/>
        <v>5496.9692611041464</v>
      </c>
      <c r="I70" s="4" t="s">
        <v>62</v>
      </c>
      <c r="J70">
        <v>51</v>
      </c>
      <c r="K70" s="7">
        <f>INDEX('Cost Analysis pg 4'!$P:$P,MATCH(I70,'Cost Analysis pg 4'!$A:$A,0))*'Cost Analysis pg 4'!$O$52</f>
        <v>9.06061272710647</v>
      </c>
      <c r="L70" s="8">
        <f t="shared" si="12"/>
        <v>3705.796848785214</v>
      </c>
    </row>
    <row r="71" spans="1:12">
      <c r="A71" s="4" t="s">
        <v>46</v>
      </c>
      <c r="B71">
        <v>57</v>
      </c>
      <c r="C71" t="s">
        <v>19</v>
      </c>
      <c r="D71" t="s">
        <v>58</v>
      </c>
      <c r="E71" s="6">
        <v>0</v>
      </c>
      <c r="F71" s="7">
        <v>12.72</v>
      </c>
      <c r="G71" s="8">
        <f t="shared" si="10"/>
        <v>0</v>
      </c>
      <c r="I71" s="4" t="s">
        <v>62</v>
      </c>
      <c r="J71">
        <v>51</v>
      </c>
      <c r="K71" s="7">
        <f>INDEX('Cost Analysis pg 4'!$P:$P,MATCH(I71,'Cost Analysis pg 4'!$A:$A,0))*'Cost Analysis pg 4'!$O$52</f>
        <v>9.06061272710647</v>
      </c>
      <c r="L71" s="8">
        <f t="shared" si="12"/>
        <v>0</v>
      </c>
    </row>
    <row r="72" spans="1:12">
      <c r="A72" s="4" t="s">
        <v>47</v>
      </c>
      <c r="B72">
        <v>57</v>
      </c>
      <c r="C72" t="s">
        <v>19</v>
      </c>
      <c r="D72" t="s">
        <v>58</v>
      </c>
      <c r="E72" s="6">
        <v>359.23481992392999</v>
      </c>
      <c r="F72" s="7">
        <v>22.57</v>
      </c>
      <c r="G72" s="8">
        <f t="shared" si="10"/>
        <v>8107.9298856831001</v>
      </c>
      <c r="I72" s="4" t="s">
        <v>65</v>
      </c>
      <c r="J72">
        <v>51</v>
      </c>
      <c r="K72" s="7">
        <f>INDEX('Cost Analysis pg 4'!$P:$P,MATCH(I72,'Cost Analysis pg 4'!$A:$A,0))*'Cost Analysis pg 4'!$O$52</f>
        <v>10.421313441803219</v>
      </c>
      <c r="L72" s="8">
        <f t="shared" si="12"/>
        <v>3743.6986576370105</v>
      </c>
    </row>
    <row r="73" spans="1:12">
      <c r="A73" s="4" t="s">
        <v>48</v>
      </c>
      <c r="B73">
        <v>57</v>
      </c>
      <c r="C73" t="s">
        <v>19</v>
      </c>
      <c r="D73" t="s">
        <v>58</v>
      </c>
      <c r="E73" s="6">
        <v>0</v>
      </c>
      <c r="F73" s="7">
        <v>21.34</v>
      </c>
      <c r="G73" s="8">
        <f t="shared" si="10"/>
        <v>0</v>
      </c>
      <c r="I73" s="4" t="s">
        <v>65</v>
      </c>
      <c r="J73">
        <v>51</v>
      </c>
      <c r="K73" s="7">
        <f>INDEX('Cost Analysis pg 4'!$P:$P,MATCH(I73,'Cost Analysis pg 4'!$A:$A,0))*'Cost Analysis pg 4'!$O$52</f>
        <v>10.421313441803219</v>
      </c>
      <c r="L73" s="8">
        <f t="shared" si="12"/>
        <v>0</v>
      </c>
    </row>
    <row r="74" spans="1:12">
      <c r="A74" s="4" t="s">
        <v>49</v>
      </c>
      <c r="B74">
        <v>57</v>
      </c>
      <c r="C74" t="s">
        <v>19</v>
      </c>
      <c r="D74" t="s">
        <v>58</v>
      </c>
      <c r="E74" s="6">
        <v>0</v>
      </c>
      <c r="F74" s="7">
        <v>41.85</v>
      </c>
      <c r="G74" s="8">
        <f t="shared" si="10"/>
        <v>0</v>
      </c>
      <c r="I74" s="4" t="s">
        <v>67</v>
      </c>
      <c r="J74">
        <v>51</v>
      </c>
      <c r="K74" s="7">
        <f>INDEX('Cost Analysis pg 4'!$P:$P,MATCH(I74,'Cost Analysis pg 4'!$A:$A,0))*'Cost Analysis pg 4'!$O$52</f>
        <v>13.516289609407146</v>
      </c>
      <c r="L74" s="8">
        <f t="shared" si="12"/>
        <v>0</v>
      </c>
    </row>
    <row r="75" spans="1:12">
      <c r="A75" s="4" t="s">
        <v>50</v>
      </c>
      <c r="B75">
        <v>57</v>
      </c>
      <c r="C75" t="s">
        <v>19</v>
      </c>
      <c r="D75" t="s">
        <v>58</v>
      </c>
      <c r="E75" s="6">
        <v>0</v>
      </c>
      <c r="F75" s="7">
        <v>13.43</v>
      </c>
      <c r="G75" s="8">
        <f t="shared" si="10"/>
        <v>0</v>
      </c>
      <c r="I75" s="4" t="s">
        <v>62</v>
      </c>
      <c r="J75">
        <v>51</v>
      </c>
      <c r="K75" s="7">
        <f>INDEX('Cost Analysis pg 4'!$P:$P,MATCH(I75,'Cost Analysis pg 4'!$A:$A,0))*'Cost Analysis pg 4'!$O$52</f>
        <v>9.06061272710647</v>
      </c>
      <c r="L75" s="8">
        <f t="shared" si="12"/>
        <v>0</v>
      </c>
    </row>
    <row r="76" spans="1:12">
      <c r="A76" s="4" t="s">
        <v>51</v>
      </c>
      <c r="B76">
        <v>57</v>
      </c>
      <c r="C76" t="s">
        <v>19</v>
      </c>
      <c r="D76" t="s">
        <v>58</v>
      </c>
      <c r="E76" s="6">
        <v>0</v>
      </c>
      <c r="F76" s="7">
        <v>12.72</v>
      </c>
      <c r="G76" s="8">
        <f t="shared" si="10"/>
        <v>0</v>
      </c>
      <c r="I76" s="4" t="s">
        <v>62</v>
      </c>
      <c r="J76">
        <v>51</v>
      </c>
      <c r="K76" s="7">
        <f>INDEX('Cost Analysis pg 4'!$P:$P,MATCH(I76,'Cost Analysis pg 4'!$A:$A,0))*'Cost Analysis pg 4'!$O$52</f>
        <v>9.06061272710647</v>
      </c>
      <c r="L76" s="8">
        <f t="shared" si="12"/>
        <v>0</v>
      </c>
    </row>
    <row r="77" spans="1:12">
      <c r="A77" s="4" t="s">
        <v>52</v>
      </c>
      <c r="B77">
        <v>57</v>
      </c>
      <c r="C77" t="s">
        <v>19</v>
      </c>
      <c r="D77" t="s">
        <v>58</v>
      </c>
      <c r="E77" s="6">
        <v>0</v>
      </c>
      <c r="F77" s="7">
        <v>21.83</v>
      </c>
      <c r="G77" s="8">
        <f t="shared" si="10"/>
        <v>0</v>
      </c>
      <c r="I77" s="4" t="s">
        <v>65</v>
      </c>
      <c r="J77">
        <v>51</v>
      </c>
      <c r="K77" s="7">
        <f>INDEX('Cost Analysis pg 4'!$P:$P,MATCH(I77,'Cost Analysis pg 4'!$A:$A,0))*'Cost Analysis pg 4'!$O$52</f>
        <v>10.421313441803219</v>
      </c>
      <c r="L77" s="8">
        <f t="shared" si="12"/>
        <v>0</v>
      </c>
    </row>
    <row r="78" spans="1:12">
      <c r="A78" s="4" t="s">
        <v>53</v>
      </c>
      <c r="B78">
        <v>57</v>
      </c>
      <c r="C78" t="s">
        <v>19</v>
      </c>
      <c r="D78" t="s">
        <v>58</v>
      </c>
      <c r="E78" s="6">
        <v>0</v>
      </c>
      <c r="F78" s="7">
        <v>20.6</v>
      </c>
      <c r="G78" s="8">
        <f t="shared" si="10"/>
        <v>0</v>
      </c>
      <c r="I78" s="4" t="s">
        <v>65</v>
      </c>
      <c r="J78">
        <v>51</v>
      </c>
      <c r="K78" s="7">
        <f>INDEX('Cost Analysis pg 4'!$P:$P,MATCH(I78,'Cost Analysis pg 4'!$A:$A,0))*'Cost Analysis pg 4'!$O$52</f>
        <v>10.421313441803219</v>
      </c>
      <c r="L78" s="8">
        <f t="shared" si="12"/>
        <v>0</v>
      </c>
    </row>
    <row r="79" spans="1:12">
      <c r="A79" s="4" t="s">
        <v>54</v>
      </c>
      <c r="B79">
        <v>57</v>
      </c>
      <c r="C79" t="s">
        <v>19</v>
      </c>
      <c r="D79" t="s">
        <v>58</v>
      </c>
      <c r="E79" s="6">
        <v>0</v>
      </c>
      <c r="F79" s="7">
        <v>41.13</v>
      </c>
      <c r="G79" s="8">
        <f t="shared" si="10"/>
        <v>0</v>
      </c>
      <c r="I79" s="4" t="s">
        <v>67</v>
      </c>
      <c r="J79">
        <v>51</v>
      </c>
      <c r="K79" s="7">
        <f>INDEX('Cost Analysis pg 4'!$P:$P,MATCH(I79,'Cost Analysis pg 4'!$A:$A,0))*'Cost Analysis pg 4'!$O$52</f>
        <v>13.516289609407146</v>
      </c>
      <c r="L79" s="8">
        <f t="shared" si="12"/>
        <v>0</v>
      </c>
    </row>
    <row r="80" spans="1:12">
      <c r="A80" s="4" t="s">
        <v>55</v>
      </c>
      <c r="B80">
        <v>57</v>
      </c>
      <c r="C80" t="s">
        <v>19</v>
      </c>
      <c r="D80" t="s">
        <v>58</v>
      </c>
      <c r="E80" s="6">
        <v>180.16648550994401</v>
      </c>
      <c r="F80" s="7">
        <v>10.75</v>
      </c>
      <c r="G80" s="8">
        <f t="shared" si="10"/>
        <v>1936.7897192318981</v>
      </c>
      <c r="I80" s="4" t="s">
        <v>62</v>
      </c>
      <c r="J80">
        <v>51</v>
      </c>
      <c r="K80" s="7">
        <f>INDEX('Cost Analysis pg 4'!$P:$P,MATCH(I80,'Cost Analysis pg 4'!$A:$A,0))*'Cost Analysis pg 4'!$O$52</f>
        <v>9.06061272710647</v>
      </c>
      <c r="L80" s="8">
        <f t="shared" si="12"/>
        <v>1632.4187516094421</v>
      </c>
    </row>
    <row r="81" spans="1:12">
      <c r="A81" s="4" t="s">
        <v>56</v>
      </c>
      <c r="B81">
        <v>57</v>
      </c>
      <c r="C81" t="s">
        <v>19</v>
      </c>
      <c r="D81" t="s">
        <v>58</v>
      </c>
      <c r="E81" s="6">
        <v>581.53297028850704</v>
      </c>
      <c r="F81" s="7">
        <v>18.82</v>
      </c>
      <c r="G81" s="8">
        <f t="shared" si="10"/>
        <v>10944.450500829702</v>
      </c>
      <c r="I81" s="4" t="s">
        <v>65</v>
      </c>
      <c r="J81">
        <v>51</v>
      </c>
      <c r="K81" s="7">
        <f>INDEX('Cost Analysis pg 4'!$P:$P,MATCH(I81,'Cost Analysis pg 4'!$A:$A,0))*'Cost Analysis pg 4'!$O$52</f>
        <v>10.421313441803219</v>
      </c>
      <c r="L81" s="8">
        <f t="shared" si="12"/>
        <v>6060.3373601193707</v>
      </c>
    </row>
    <row r="82" spans="1:12">
      <c r="A82" s="4" t="s">
        <v>57</v>
      </c>
      <c r="B82">
        <v>57</v>
      </c>
      <c r="C82" t="s">
        <v>19</v>
      </c>
      <c r="D82" t="s">
        <v>58</v>
      </c>
      <c r="E82" s="6">
        <v>0</v>
      </c>
      <c r="F82" s="7">
        <v>40.200000000000003</v>
      </c>
      <c r="G82" s="8">
        <f t="shared" si="10"/>
        <v>0</v>
      </c>
      <c r="I82" s="4" t="s">
        <v>67</v>
      </c>
      <c r="J82">
        <v>51</v>
      </c>
      <c r="K82" s="7">
        <f>INDEX('Cost Analysis pg 4'!$P:$P,MATCH(I82,'Cost Analysis pg 4'!$A:$A,0))*'Cost Analysis pg 4'!$O$52</f>
        <v>13.516289609407146</v>
      </c>
      <c r="L82" s="8">
        <f t="shared" si="12"/>
        <v>0</v>
      </c>
    </row>
    <row r="84" spans="1:12">
      <c r="A84" s="4" t="s">
        <v>176</v>
      </c>
      <c r="G84" s="8">
        <f>SUM(G12:G82)</f>
        <v>1773834.2684668044</v>
      </c>
      <c r="L84" s="8">
        <f>SUM(L12:L82)</f>
        <v>1274860.7877625776</v>
      </c>
    </row>
    <row r="85" spans="1:12">
      <c r="A85" s="4" t="s">
        <v>317</v>
      </c>
      <c r="F85">
        <f>COUNT(F12:F82)</f>
        <v>61</v>
      </c>
    </row>
  </sheetData>
  <pageMargins left="0.7" right="0.7" top="0.75" bottom="0.75" header="0.3" footer="0.3"/>
  <pageSetup scale="48" fitToHeight="5" orientation="landscape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/>
    </sheetView>
  </sheetViews>
  <sheetFormatPr defaultRowHeight="14.4"/>
  <cols>
    <col min="1" max="1" width="69.33203125" bestFit="1" customWidth="1"/>
    <col min="2" max="2" width="10.88671875" customWidth="1"/>
    <col min="3" max="3" width="11.44140625" bestFit="1" customWidth="1"/>
    <col min="4" max="4" width="12.33203125" bestFit="1" customWidth="1"/>
    <col min="5" max="5" width="10.44140625" customWidth="1"/>
    <col min="6" max="6" width="14.109375" bestFit="1" customWidth="1"/>
  </cols>
  <sheetData>
    <row r="1" spans="1:6">
      <c r="A1" s="2" t="s">
        <v>0</v>
      </c>
      <c r="B1" s="3"/>
      <c r="C1" s="3"/>
      <c r="D1" s="3"/>
      <c r="E1" s="3"/>
      <c r="F1" s="3"/>
    </row>
    <row r="2" spans="1:6">
      <c r="A2" s="2" t="s">
        <v>1</v>
      </c>
      <c r="B2" s="3"/>
      <c r="C2" s="3"/>
      <c r="D2" s="3"/>
      <c r="E2" s="3"/>
      <c r="F2" s="3"/>
    </row>
    <row r="3" spans="1:6">
      <c r="A3" s="2" t="s">
        <v>76</v>
      </c>
      <c r="B3" s="3"/>
      <c r="C3" s="3"/>
      <c r="D3" s="3"/>
      <c r="E3" s="3"/>
      <c r="F3" s="3"/>
    </row>
    <row r="4" spans="1:6">
      <c r="A4" s="2" t="s">
        <v>3</v>
      </c>
      <c r="B4" s="3"/>
      <c r="C4" s="3"/>
      <c r="D4" s="3"/>
      <c r="E4" s="3"/>
      <c r="F4" s="3"/>
    </row>
    <row r="5" spans="1:6">
      <c r="A5" s="2" t="s">
        <v>2</v>
      </c>
      <c r="B5" s="3"/>
      <c r="C5" s="3"/>
      <c r="D5" s="3"/>
      <c r="E5" s="3"/>
      <c r="F5" s="3"/>
    </row>
    <row r="7" spans="1:6">
      <c r="A7" s="2" t="s">
        <v>8</v>
      </c>
      <c r="B7" s="2"/>
      <c r="C7" s="2"/>
      <c r="E7" s="2"/>
      <c r="F7" s="2"/>
    </row>
    <row r="8" spans="1:6">
      <c r="A8" s="1" t="s">
        <v>8</v>
      </c>
      <c r="B8" s="1" t="s">
        <v>8</v>
      </c>
      <c r="C8" s="1"/>
      <c r="D8" s="1"/>
      <c r="E8" s="1" t="s">
        <v>8</v>
      </c>
      <c r="F8" s="1" t="s">
        <v>8</v>
      </c>
    </row>
    <row r="9" spans="1:6">
      <c r="A9" s="1" t="s">
        <v>4</v>
      </c>
      <c r="B9" s="1" t="s">
        <v>5</v>
      </c>
      <c r="C9" s="1" t="s">
        <v>9</v>
      </c>
      <c r="D9" s="1" t="s">
        <v>10</v>
      </c>
      <c r="E9" s="1" t="s">
        <v>11</v>
      </c>
      <c r="F9" s="1" t="s">
        <v>7</v>
      </c>
    </row>
    <row r="10" spans="1:6">
      <c r="A10" s="1"/>
      <c r="B10" s="1"/>
      <c r="C10" s="1"/>
      <c r="E10" s="1"/>
      <c r="F10" s="1"/>
    </row>
    <row r="11" spans="1:6">
      <c r="A11" t="s">
        <v>12</v>
      </c>
    </row>
    <row r="12" spans="1:6">
      <c r="A12" s="4" t="s">
        <v>295</v>
      </c>
      <c r="B12">
        <v>15</v>
      </c>
      <c r="C12" t="s">
        <v>58</v>
      </c>
      <c r="D12" s="6">
        <f>SUMIFS('Price Summary pg 5,6'!$E:$E,'Price Summary pg 5,6'!$I:$I,A12)</f>
        <v>26655.009122588643</v>
      </c>
      <c r="E12" s="7">
        <f>INDEX('Price Summary pg 5,6'!$K:$K,MATCH(A12,'Price Summary pg 5,6'!$I:$I,0))</f>
        <v>8.5982919906545998</v>
      </c>
      <c r="F12" s="7">
        <f>D12*E12</f>
        <v>229187.55144957922</v>
      </c>
    </row>
    <row r="13" spans="1:6">
      <c r="A13" s="4" t="s">
        <v>296</v>
      </c>
      <c r="B13">
        <v>15</v>
      </c>
      <c r="C13" t="s">
        <v>58</v>
      </c>
      <c r="D13" s="6">
        <f>SUMIFS('Price Summary pg 5,6'!$E:$E,'Price Summary pg 5,6'!$I:$I,A13)</f>
        <v>5709.8995291503252</v>
      </c>
      <c r="E13" s="7">
        <f>INDEX('Price Summary pg 5,6'!$K:$K,MATCH(A13,'Price Summary pg 5,6'!$I:$I,0))</f>
        <v>9.7173898784621162</v>
      </c>
      <c r="F13" s="7">
        <f t="shared" ref="F13:F14" si="0">D13*E13</f>
        <v>55485.319891600971</v>
      </c>
    </row>
    <row r="14" spans="1:6">
      <c r="A14" s="4" t="s">
        <v>297</v>
      </c>
      <c r="B14">
        <v>15</v>
      </c>
      <c r="C14" t="s">
        <v>58</v>
      </c>
      <c r="D14" s="6">
        <f>SUMIFS('Price Summary pg 5,6'!$E:$E,'Price Summary pg 5,6'!$I:$I,A14)</f>
        <v>1012.5673992761087</v>
      </c>
      <c r="E14" s="7">
        <f>INDEX('Price Summary pg 5,6'!$K:$K,MATCH(A14,'Price Summary pg 5,6'!$I:$I,0))</f>
        <v>11.469176632518419</v>
      </c>
      <c r="F14" s="7">
        <f t="shared" si="0"/>
        <v>11613.314354627495</v>
      </c>
    </row>
    <row r="15" spans="1:6">
      <c r="E15" s="8"/>
      <c r="F15" s="7"/>
    </row>
    <row r="16" spans="1:6">
      <c r="E16" s="8"/>
      <c r="F16" s="7"/>
    </row>
    <row r="17" spans="1:10">
      <c r="A17" s="4" t="s">
        <v>62</v>
      </c>
      <c r="B17">
        <v>51</v>
      </c>
      <c r="C17" t="s">
        <v>58</v>
      </c>
      <c r="D17" s="6">
        <f>SUMIFS('Price Summary pg 5,6'!$E:$E,'Price Summary pg 5,6'!$I:$I,A17)</f>
        <v>26736.712728096987</v>
      </c>
      <c r="E17" s="7">
        <f>INDEX('Price Summary pg 5,6'!$K:$K,MATCH(A17,'Price Summary pg 5,6'!$I:$I,0))</f>
        <v>9.06061272710647</v>
      </c>
      <c r="F17" s="7">
        <f t="shared" ref="F17:F29" si="1">D17*E17</f>
        <v>242250.9996251851</v>
      </c>
      <c r="H17" s="7"/>
    </row>
    <row r="18" spans="1:10">
      <c r="A18" s="4" t="s">
        <v>63</v>
      </c>
      <c r="B18">
        <v>51</v>
      </c>
      <c r="C18" t="s">
        <v>58</v>
      </c>
      <c r="D18" s="6">
        <f>SUMIFS('Price Summary pg 5,6'!$E:$E,'Price Summary pg 5,6'!$I:$I,A18)</f>
        <v>20530.42971732733</v>
      </c>
      <c r="E18" s="7">
        <f>INDEX('Price Summary pg 5,6'!$K:$K,MATCH(A18,'Price Summary pg 5,6'!$I:$I,0))</f>
        <v>9.750284600290092</v>
      </c>
      <c r="F18" s="7">
        <f t="shared" si="1"/>
        <v>200177.53271019473</v>
      </c>
      <c r="H18" s="7"/>
    </row>
    <row r="19" spans="1:10">
      <c r="A19" s="4" t="s">
        <v>64</v>
      </c>
      <c r="B19">
        <v>51</v>
      </c>
      <c r="C19" t="s">
        <v>58</v>
      </c>
      <c r="D19" s="6">
        <f>SUMIFS('Price Summary pg 5,6'!$E:$E,'Price Summary pg 5,6'!$I:$I,A19)</f>
        <v>1451.934853557759</v>
      </c>
      <c r="E19" s="7">
        <f>INDEX('Price Summary pg 5,6'!$K:$K,MATCH(A19,'Price Summary pg 5,6'!$I:$I,0))</f>
        <v>10.062408534927952</v>
      </c>
      <c r="F19" s="7">
        <f t="shared" si="1"/>
        <v>14609.96166259896</v>
      </c>
      <c r="H19" s="7"/>
    </row>
    <row r="20" spans="1:10">
      <c r="A20" s="4" t="s">
        <v>65</v>
      </c>
      <c r="B20">
        <v>51</v>
      </c>
      <c r="C20" t="s">
        <v>58</v>
      </c>
      <c r="D20" s="6">
        <f>SUMIFS('Price Summary pg 5,6'!$E:$E,'Price Summary pg 5,6'!$I:$I,A20)</f>
        <v>19012.205913949121</v>
      </c>
      <c r="E20" s="7">
        <f>INDEX('Price Summary pg 5,6'!$K:$K,MATCH(A20,'Price Summary pg 5,6'!$I:$I,0))</f>
        <v>10.421313441803219</v>
      </c>
      <c r="F20" s="7">
        <f t="shared" si="1"/>
        <v>198132.15704936863</v>
      </c>
      <c r="H20" s="7"/>
    </row>
    <row r="21" spans="1:10">
      <c r="A21" s="4" t="s">
        <v>66</v>
      </c>
      <c r="B21">
        <v>51</v>
      </c>
      <c r="C21" t="s">
        <v>58</v>
      </c>
      <c r="D21" s="6">
        <f>SUMIFS('Price Summary pg 5,6'!$E:$E,'Price Summary pg 5,6'!$I:$I,A21)</f>
        <v>3915.6518554633003</v>
      </c>
      <c r="E21" s="7">
        <f>INDEX('Price Summary pg 5,6'!$K:$K,MATCH(A21,'Price Summary pg 5,6'!$I:$I,0))</f>
        <v>11.078121180151831</v>
      </c>
      <c r="F21" s="7">
        <f t="shared" si="1"/>
        <v>43378.0657541088</v>
      </c>
      <c r="H21" s="7"/>
    </row>
    <row r="22" spans="1:10">
      <c r="A22" s="4" t="s">
        <v>67</v>
      </c>
      <c r="B22">
        <v>51</v>
      </c>
      <c r="C22" t="s">
        <v>58</v>
      </c>
      <c r="D22" s="6">
        <f>SUMIFS('Price Summary pg 5,6'!$E:$E,'Price Summary pg 5,6'!$I:$I,A22)</f>
        <v>3417.7601733623369</v>
      </c>
      <c r="E22" s="7">
        <f>INDEX('Price Summary pg 5,6'!$K:$K,MATCH(A22,'Price Summary pg 5,6'!$I:$I,0))</f>
        <v>13.516289609407146</v>
      </c>
      <c r="F22" s="7">
        <f t="shared" si="1"/>
        <v>46195.43631866292</v>
      </c>
      <c r="H22" s="7"/>
    </row>
    <row r="23" spans="1:10">
      <c r="A23" s="4" t="s">
        <v>68</v>
      </c>
      <c r="B23">
        <v>51</v>
      </c>
      <c r="C23" t="s">
        <v>58</v>
      </c>
      <c r="D23" s="6">
        <f>SUMIFS('Price Summary pg 5,6'!$E:$E,'Price Summary pg 5,6'!$I:$I,A23)</f>
        <v>2511.7599388379199</v>
      </c>
      <c r="E23" s="7">
        <f>INDEX('Price Summary pg 5,6'!$K:$K,MATCH(A23,'Price Summary pg 5,6'!$I:$I,0))</f>
        <v>4.478697330427079</v>
      </c>
      <c r="F23" s="7">
        <f t="shared" si="1"/>
        <v>11249.412532747076</v>
      </c>
      <c r="H23" s="7"/>
    </row>
    <row r="24" spans="1:10">
      <c r="A24" s="4" t="s">
        <v>69</v>
      </c>
      <c r="B24">
        <v>51</v>
      </c>
      <c r="C24" t="s">
        <v>58</v>
      </c>
      <c r="D24" s="6">
        <f>SUMIFS('Price Summary pg 5,6'!$E:$E,'Price Summary pg 5,6'!$I:$I,A24)</f>
        <v>1224.931672702</v>
      </c>
      <c r="E24" s="7">
        <f>INDEX('Price Summary pg 5,6'!$K:$K,MATCH(A24,'Price Summary pg 5,6'!$I:$I,0))</f>
        <v>4.8581849879581815</v>
      </c>
      <c r="F24" s="7">
        <f t="shared" si="1"/>
        <v>5950.9446635953609</v>
      </c>
    </row>
    <row r="25" spans="1:10">
      <c r="A25" s="4" t="s">
        <v>70</v>
      </c>
      <c r="B25">
        <v>51</v>
      </c>
      <c r="C25" t="s">
        <v>58</v>
      </c>
      <c r="D25" s="6">
        <f>SUMIFS('Price Summary pg 5,6'!$E:$E,'Price Summary pg 5,6'!$I:$I,A25)</f>
        <v>21.048507462686601</v>
      </c>
      <c r="E25" s="7">
        <f>INDEX('Price Summary pg 5,6'!$K:$K,MATCH(A25,'Price Summary pg 5,6'!$I:$I,0))</f>
        <v>5.1491972158390844</v>
      </c>
      <c r="F25" s="7">
        <f t="shared" si="1"/>
        <v>108.38291602443404</v>
      </c>
      <c r="J25" s="7"/>
    </row>
    <row r="26" spans="1:10">
      <c r="A26" s="4" t="s">
        <v>71</v>
      </c>
      <c r="B26">
        <v>51</v>
      </c>
      <c r="C26" t="s">
        <v>58</v>
      </c>
      <c r="D26" s="6">
        <f>SUMIFS('Price Summary pg 5,6'!$E:$E,'Price Summary pg 5,6'!$I:$I,A26)</f>
        <v>1847.76591955096</v>
      </c>
      <c r="E26" s="7">
        <f>INDEX('Price Summary pg 5,6'!$K:$K,MATCH(A26,'Price Summary pg 5,6'!$I:$I,0))</f>
        <v>5.4633733739699553</v>
      </c>
      <c r="F26" s="7">
        <f t="shared" si="1"/>
        <v>10095.035126203826</v>
      </c>
    </row>
    <row r="27" spans="1:10">
      <c r="A27" s="4" t="s">
        <v>72</v>
      </c>
      <c r="B27">
        <v>51</v>
      </c>
      <c r="C27" t="s">
        <v>58</v>
      </c>
      <c r="D27" s="6">
        <f>SUMIFS('Price Summary pg 5,6'!$E:$E,'Price Summary pg 5,6'!$I:$I,A27)</f>
        <v>164.16525779691301</v>
      </c>
      <c r="E27" s="7">
        <f>INDEX('Price Summary pg 5,6'!$K:$K,MATCH(A27,'Price Summary pg 5,6'!$I:$I,0))</f>
        <v>5.8460007865362273</v>
      </c>
      <c r="F27" s="7">
        <f t="shared" si="1"/>
        <v>959.71022620267604</v>
      </c>
    </row>
    <row r="28" spans="1:10">
      <c r="A28" s="4" t="s">
        <v>73</v>
      </c>
      <c r="B28">
        <v>51</v>
      </c>
      <c r="C28" t="s">
        <v>58</v>
      </c>
      <c r="D28" s="6">
        <f>SUMIFS('Price Summary pg 5,6'!$E:$E,'Price Summary pg 5,6'!$I:$I,A28)</f>
        <v>648.34196374959504</v>
      </c>
      <c r="E28" s="7">
        <f>INDEX('Price Summary pg 5,6'!$K:$K,MATCH(A28,'Price Summary pg 5,6'!$I:$I,0))</f>
        <v>7.1494380067542433</v>
      </c>
      <c r="F28" s="7">
        <f t="shared" si="1"/>
        <v>4635.2806770050365</v>
      </c>
    </row>
    <row r="29" spans="1:10">
      <c r="A29" s="4" t="s">
        <v>318</v>
      </c>
      <c r="B29">
        <v>51</v>
      </c>
      <c r="C29" t="s">
        <v>58</v>
      </c>
      <c r="D29" s="6">
        <f>SUMIFS('Price Summary pg 5,6'!$E:$E,'Price Summary pg 5,6'!$I:$I,A29)</f>
        <v>47.999893788498298</v>
      </c>
      <c r="E29" s="7">
        <f>INDEX('Price Summary pg 5,6'!$K:$K,MATCH(A29,'Price Summary pg 5,6'!$I:$I,0))</f>
        <v>17.950460517001254</v>
      </c>
      <c r="F29" s="7">
        <f t="shared" si="1"/>
        <v>861.62019827069241</v>
      </c>
    </row>
    <row r="30" spans="1:10">
      <c r="E30" s="8"/>
      <c r="F30" s="7"/>
    </row>
    <row r="31" spans="1:10">
      <c r="A31" s="5" t="s">
        <v>34</v>
      </c>
      <c r="B31">
        <v>53</v>
      </c>
      <c r="C31" t="s">
        <v>59</v>
      </c>
      <c r="D31" s="6">
        <f>SUMIFS('Price Summary pg 5,6'!$E:$E,'Price Summary pg 5,6'!$I:$I,A31)</f>
        <v>3695896.7353539728</v>
      </c>
      <c r="E31" s="9">
        <f>INDEX('Price Summary pg 5,6'!$K:$K,MATCH(A31,'Price Summary pg 5,6'!$I:$I,0))</f>
        <v>4.9146250013449189E-2</v>
      </c>
      <c r="F31" s="7">
        <f>D31*E31</f>
        <v>181639.46497959699</v>
      </c>
    </row>
    <row r="32" spans="1:10">
      <c r="E32" s="8"/>
      <c r="F32" s="7"/>
    </row>
    <row r="33" spans="1:6">
      <c r="A33" t="s">
        <v>35</v>
      </c>
      <c r="B33">
        <v>54</v>
      </c>
      <c r="E33" s="8"/>
      <c r="F33" s="7"/>
    </row>
    <row r="34" spans="1:6">
      <c r="A34" s="4" t="s">
        <v>36</v>
      </c>
      <c r="B34">
        <v>54</v>
      </c>
      <c r="C34" t="s">
        <v>60</v>
      </c>
      <c r="D34" s="6">
        <f>SUMIFS('Price Summary pg 5,6'!$E:$E,'Price Summary pg 5,6'!$I:$I,A34)</f>
        <v>144</v>
      </c>
      <c r="E34" s="7">
        <f>INDEX('Price Summary pg 5,6'!$K:$K,MATCH(A34,'Price Summary pg 5,6'!$I:$I,0))</f>
        <v>11.107208027233989</v>
      </c>
      <c r="F34" s="7">
        <f t="shared" ref="F34:F36" si="2">D34*E34</f>
        <v>1599.4379559216945</v>
      </c>
    </row>
    <row r="35" spans="1:6">
      <c r="A35" s="4" t="s">
        <v>37</v>
      </c>
      <c r="B35">
        <v>54</v>
      </c>
      <c r="C35" t="s">
        <v>60</v>
      </c>
      <c r="D35" s="6">
        <f>SUMIFS('Price Summary pg 5,6'!$E:$E,'Price Summary pg 5,6'!$I:$I,A35)</f>
        <v>180</v>
      </c>
      <c r="E35" s="7">
        <f>INDEX('Price Summary pg 5,6'!$K:$K,MATCH(A35,'Price Summary pg 5,6'!$I:$I,0))</f>
        <v>19.936014407855879</v>
      </c>
      <c r="F35" s="7">
        <f t="shared" si="2"/>
        <v>3588.4825934140581</v>
      </c>
    </row>
    <row r="36" spans="1:6">
      <c r="A36" s="4" t="s">
        <v>38</v>
      </c>
      <c r="B36">
        <v>54</v>
      </c>
      <c r="C36" t="s">
        <v>59</v>
      </c>
      <c r="D36" s="6">
        <f>SUMIFS('Price Summary pg 5,6'!$E:$E,'Price Summary pg 5,6'!$I:$I,A36)</f>
        <v>282712</v>
      </c>
      <c r="E36" s="9">
        <f>INDEX('Price Summary pg 5,6'!$K:$K,MATCH(A36,'Price Summary pg 5,6'!$I:$I,0))</f>
        <v>4.6487864249372901E-2</v>
      </c>
      <c r="F36" s="7">
        <f t="shared" si="2"/>
        <v>13142.677077668712</v>
      </c>
    </row>
    <row r="37" spans="1:6">
      <c r="E37" s="8"/>
      <c r="F37" s="7"/>
    </row>
    <row r="38" spans="1:6">
      <c r="A38" s="5" t="s">
        <v>176</v>
      </c>
      <c r="F38" s="7">
        <f>SUM(F12:F36)</f>
        <v>1274860.7877625774</v>
      </c>
    </row>
    <row r="39" spans="1:6">
      <c r="A39" s="4" t="s">
        <v>317</v>
      </c>
      <c r="E39">
        <f>COUNT(E12:E36)</f>
        <v>20</v>
      </c>
    </row>
  </sheetData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07"/>
  <sheetViews>
    <sheetView zoomScale="85" zoomScaleNormal="85" workbookViewId="0">
      <pane xSplit="2" ySplit="10" topLeftCell="C11" activePane="bottomRight" state="frozen"/>
      <selection activeCell="J20" sqref="J20"/>
      <selection pane="topRight" activeCell="J20" sqref="J20"/>
      <selection pane="bottomLeft" activeCell="J20" sqref="J20"/>
      <selection pane="bottomRight" activeCell="B16" sqref="B16"/>
    </sheetView>
  </sheetViews>
  <sheetFormatPr defaultRowHeight="14.4"/>
  <cols>
    <col min="2" max="2" width="40" bestFit="1" customWidth="1"/>
    <col min="3" max="4" width="16.5546875" bestFit="1" customWidth="1"/>
    <col min="5" max="5" width="15" bestFit="1" customWidth="1"/>
    <col min="6" max="7" width="17.88671875" bestFit="1" customWidth="1"/>
    <col min="8" max="8" width="19.109375" bestFit="1" customWidth="1"/>
    <col min="9" max="9" width="15" bestFit="1" customWidth="1"/>
    <col min="10" max="10" width="15.44140625" bestFit="1" customWidth="1"/>
  </cols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1" t="s">
        <v>233</v>
      </c>
      <c r="C2" s="30"/>
      <c r="D2" s="30"/>
      <c r="E2" s="30"/>
      <c r="F2" s="30"/>
      <c r="G2" s="30"/>
      <c r="H2" s="30"/>
      <c r="I2" s="30"/>
      <c r="J2" s="30"/>
    </row>
    <row r="3" spans="1:10">
      <c r="A3" s="32"/>
      <c r="B3" s="261" t="s">
        <v>101</v>
      </c>
      <c r="C3" s="261"/>
      <c r="D3" s="261"/>
      <c r="E3" s="261"/>
      <c r="F3" s="261"/>
      <c r="G3" s="261"/>
      <c r="H3" s="261"/>
      <c r="I3" s="261"/>
      <c r="J3" s="261"/>
    </row>
    <row r="4" spans="1:10">
      <c r="A4" s="33"/>
      <c r="B4" s="261" t="s">
        <v>102</v>
      </c>
      <c r="C4" s="261"/>
      <c r="D4" s="261"/>
      <c r="E4" s="261"/>
      <c r="F4" s="261"/>
      <c r="G4" s="261"/>
      <c r="H4" s="261"/>
      <c r="I4" s="261"/>
      <c r="J4" s="261"/>
    </row>
    <row r="5" spans="1:10">
      <c r="A5" s="33"/>
      <c r="B5" s="261" t="s">
        <v>1</v>
      </c>
      <c r="C5" s="261"/>
      <c r="D5" s="261"/>
      <c r="E5" s="261"/>
      <c r="F5" s="261"/>
      <c r="G5" s="261"/>
      <c r="H5" s="261"/>
      <c r="I5" s="261"/>
      <c r="J5" s="261"/>
    </row>
    <row r="6" spans="1:10">
      <c r="A6" s="33"/>
      <c r="B6" s="261" t="s">
        <v>103</v>
      </c>
      <c r="C6" s="261"/>
      <c r="D6" s="261"/>
      <c r="E6" s="261"/>
      <c r="F6" s="261"/>
      <c r="G6" s="261"/>
      <c r="H6" s="261"/>
      <c r="I6" s="261"/>
      <c r="J6" s="261"/>
    </row>
    <row r="7" spans="1:10">
      <c r="A7" s="34"/>
      <c r="B7" s="33"/>
      <c r="C7" s="33"/>
      <c r="D7" s="33"/>
      <c r="E7" s="33"/>
      <c r="F7" s="33"/>
      <c r="G7" s="33"/>
      <c r="H7" s="33"/>
      <c r="I7" s="33"/>
      <c r="J7" s="33"/>
    </row>
    <row r="8" spans="1:10">
      <c r="A8" s="233"/>
      <c r="B8" s="234"/>
      <c r="C8" s="235" t="s">
        <v>104</v>
      </c>
      <c r="D8" s="236"/>
      <c r="E8" s="237" t="s">
        <v>105</v>
      </c>
      <c r="F8" s="237" t="s">
        <v>106</v>
      </c>
      <c r="G8" s="237" t="s">
        <v>106</v>
      </c>
      <c r="H8" s="237" t="s">
        <v>106</v>
      </c>
      <c r="I8" s="235" t="s">
        <v>107</v>
      </c>
      <c r="J8" s="237" t="s">
        <v>108</v>
      </c>
    </row>
    <row r="9" spans="1:10">
      <c r="A9" s="233"/>
      <c r="B9" s="238" t="s">
        <v>4</v>
      </c>
      <c r="C9" s="235" t="s">
        <v>109</v>
      </c>
      <c r="D9" s="237" t="s">
        <v>110</v>
      </c>
      <c r="E9" s="237" t="s">
        <v>111</v>
      </c>
      <c r="F9" s="237" t="s">
        <v>112</v>
      </c>
      <c r="G9" s="237" t="s">
        <v>113</v>
      </c>
      <c r="H9" s="237" t="s">
        <v>114</v>
      </c>
      <c r="I9" s="237" t="s">
        <v>115</v>
      </c>
      <c r="J9" s="237" t="s">
        <v>116</v>
      </c>
    </row>
    <row r="10" spans="1:10" ht="15" thickBot="1">
      <c r="A10" s="233"/>
      <c r="B10" s="239"/>
      <c r="C10" s="240" t="s">
        <v>117</v>
      </c>
      <c r="D10" s="241" t="s">
        <v>118</v>
      </c>
      <c r="E10" s="241" t="s">
        <v>119</v>
      </c>
      <c r="F10" s="241" t="s">
        <v>120</v>
      </c>
      <c r="G10" s="241" t="s">
        <v>121</v>
      </c>
      <c r="H10" s="241" t="s">
        <v>121</v>
      </c>
      <c r="I10" s="241" t="s">
        <v>122</v>
      </c>
      <c r="J10" s="241" t="s">
        <v>123</v>
      </c>
    </row>
    <row r="11" spans="1:10">
      <c r="A11" s="233"/>
      <c r="B11" s="242"/>
      <c r="C11" s="243"/>
      <c r="D11" s="243"/>
      <c r="E11" s="243"/>
      <c r="F11" s="243"/>
      <c r="G11" s="243"/>
      <c r="H11" s="243"/>
      <c r="I11" s="243"/>
      <c r="J11" s="243"/>
    </row>
    <row r="12" spans="1:10">
      <c r="A12" s="244">
        <v>14</v>
      </c>
      <c r="B12" s="245" t="s">
        <v>124</v>
      </c>
      <c r="C12" s="246"/>
      <c r="D12" s="247"/>
      <c r="E12" s="247"/>
      <c r="F12" s="247"/>
      <c r="G12" s="247"/>
      <c r="H12" s="247"/>
      <c r="I12" s="247"/>
      <c r="J12" s="247"/>
    </row>
    <row r="13" spans="1:10">
      <c r="A13" s="244">
        <v>15</v>
      </c>
      <c r="B13" s="248" t="s">
        <v>320</v>
      </c>
      <c r="C13" s="259">
        <v>18414349.815791342</v>
      </c>
      <c r="D13" s="259">
        <v>11908826.148644997</v>
      </c>
      <c r="E13" s="259">
        <v>2116571.5477940585</v>
      </c>
      <c r="F13" s="259">
        <v>2318920.3230899591</v>
      </c>
      <c r="G13" s="259">
        <v>859242.20501886797</v>
      </c>
      <c r="H13" s="259">
        <v>649800</v>
      </c>
      <c r="I13" s="259">
        <v>523931.38873260352</v>
      </c>
      <c r="J13" s="259">
        <v>37058.202510854433</v>
      </c>
    </row>
    <row r="14" spans="1:10">
      <c r="A14" s="244">
        <v>16</v>
      </c>
      <c r="B14" s="248" t="s">
        <v>125</v>
      </c>
      <c r="C14" s="259">
        <v>4031133626.0945625</v>
      </c>
      <c r="D14" s="259">
        <v>1524718211.8738832</v>
      </c>
      <c r="E14" s="259">
        <v>554739131.83022404</v>
      </c>
      <c r="F14" s="259">
        <v>950741261.18410254</v>
      </c>
      <c r="G14" s="259">
        <v>402864721.13354957</v>
      </c>
      <c r="H14" s="259">
        <v>420782100.87353736</v>
      </c>
      <c r="I14" s="259">
        <v>164795797.84020051</v>
      </c>
      <c r="J14" s="259">
        <v>12492401.359065101</v>
      </c>
    </row>
    <row r="15" spans="1:10">
      <c r="A15" s="244">
        <v>17</v>
      </c>
      <c r="B15" s="248" t="s">
        <v>126</v>
      </c>
      <c r="C15" s="259">
        <v>136869.29930450179</v>
      </c>
      <c r="D15" s="259">
        <v>107789.70430107281</v>
      </c>
      <c r="E15" s="259">
        <v>19928.640555555452</v>
      </c>
      <c r="F15" s="259">
        <v>1076.1138888888895</v>
      </c>
      <c r="G15" s="259">
        <v>64.477272727272748</v>
      </c>
      <c r="H15" s="259">
        <v>1</v>
      </c>
      <c r="I15" s="259">
        <v>5135.6966195907062</v>
      </c>
      <c r="J15" s="259">
        <v>2873.666666666667</v>
      </c>
    </row>
    <row r="16" spans="1:10">
      <c r="A16" s="244">
        <v>18</v>
      </c>
      <c r="B16" s="249" t="s">
        <v>142</v>
      </c>
      <c r="C16" s="258">
        <v>0.29988030600614918</v>
      </c>
      <c r="D16" s="258">
        <v>0.17538715056281129</v>
      </c>
      <c r="E16" s="258">
        <v>0.35903185967774898</v>
      </c>
      <c r="F16" s="258">
        <v>0.56163434177758376</v>
      </c>
      <c r="G16" s="258">
        <v>0.64227464361197661</v>
      </c>
      <c r="H16" s="258">
        <v>0.88706346077726206</v>
      </c>
      <c r="I16" s="258">
        <v>0.43087257822123176</v>
      </c>
      <c r="J16" s="258">
        <v>0.46178382691522557</v>
      </c>
    </row>
    <row r="17" spans="1:10">
      <c r="A17" s="244"/>
      <c r="B17" s="248" t="s">
        <v>234</v>
      </c>
      <c r="C17" s="259"/>
      <c r="D17" s="259">
        <v>0.63435645246722761</v>
      </c>
      <c r="E17" s="259">
        <v>0.73382702299246771</v>
      </c>
      <c r="F17" s="259"/>
      <c r="G17" s="259">
        <v>5.2261177778157277</v>
      </c>
      <c r="H17" s="259">
        <v>0.9463246400052967</v>
      </c>
      <c r="I17" s="259">
        <v>1.0232693316282082</v>
      </c>
      <c r="J17" s="259">
        <v>0.99187417812073064</v>
      </c>
    </row>
    <row r="18" spans="1:10">
      <c r="A18" s="244">
        <v>19</v>
      </c>
      <c r="B18" s="252"/>
      <c r="C18" s="258"/>
      <c r="D18" s="258"/>
      <c r="E18" s="258"/>
      <c r="F18" s="258"/>
      <c r="G18" s="258"/>
      <c r="H18" s="258"/>
      <c r="I18" s="258"/>
      <c r="J18" s="258"/>
    </row>
    <row r="19" spans="1:10">
      <c r="A19" s="244">
        <v>20</v>
      </c>
      <c r="B19" s="248" t="s">
        <v>321</v>
      </c>
      <c r="C19" s="259">
        <v>1</v>
      </c>
      <c r="D19" s="259">
        <v>0.44832696133465483</v>
      </c>
      <c r="E19" s="259">
        <v>0.13735173372610038</v>
      </c>
      <c r="F19" s="259">
        <v>0.2095104747586497</v>
      </c>
      <c r="G19" s="259">
        <v>8.5036155064259988E-2</v>
      </c>
      <c r="H19" s="259">
        <v>7.5798377747458054E-2</v>
      </c>
      <c r="I19" s="259">
        <v>4.0538658412273811E-2</v>
      </c>
      <c r="J19" s="259">
        <v>3.4376389566033558E-3</v>
      </c>
    </row>
    <row r="20" spans="1:10">
      <c r="A20" s="244">
        <v>21</v>
      </c>
      <c r="B20" s="248" t="s">
        <v>127</v>
      </c>
      <c r="C20" s="259">
        <v>378080737.65403128</v>
      </c>
      <c r="D20" s="259">
        <v>169503788.25159666</v>
      </c>
      <c r="E20" s="259">
        <v>51930044.805224113</v>
      </c>
      <c r="F20" s="259">
        <v>79211874.842996582</v>
      </c>
      <c r="G20" s="259">
        <v>32150532.233958006</v>
      </c>
      <c r="H20" s="259">
        <v>28657906.571737852</v>
      </c>
      <c r="I20" s="259">
        <v>15326885.876017282</v>
      </c>
      <c r="J20" s="259">
        <v>1299705.0725008312</v>
      </c>
    </row>
    <row r="21" spans="1:10">
      <c r="A21" s="244">
        <v>22</v>
      </c>
      <c r="B21" s="248" t="s">
        <v>322</v>
      </c>
      <c r="C21" s="259">
        <v>20.531853768184948</v>
      </c>
      <c r="D21" s="259">
        <v>14.233458960258904</v>
      </c>
      <c r="E21" s="259">
        <v>24.53498198978761</v>
      </c>
      <c r="F21" s="259">
        <v>34.158946322677807</v>
      </c>
      <c r="G21" s="259">
        <v>37.417310330155416</v>
      </c>
      <c r="H21" s="259">
        <v>44.102657081775703</v>
      </c>
      <c r="I21" s="259">
        <v>29.253612602011128</v>
      </c>
      <c r="J21" s="259">
        <v>35.071994442259971</v>
      </c>
    </row>
    <row r="22" spans="1:10">
      <c r="A22" s="244">
        <v>23</v>
      </c>
      <c r="B22" s="248" t="s">
        <v>128</v>
      </c>
      <c r="C22" s="259">
        <v>9.3790177335382197E-2</v>
      </c>
      <c r="D22" s="259">
        <v>0.11117056708024495</v>
      </c>
      <c r="E22" s="259">
        <v>9.3611648837344186E-2</v>
      </c>
      <c r="F22" s="259">
        <v>8.3315911570243623E-2</v>
      </c>
      <c r="G22" s="259">
        <v>7.9804784453439678E-2</v>
      </c>
      <c r="H22" s="259">
        <v>6.8106287107375679E-2</v>
      </c>
      <c r="I22" s="259">
        <v>9.3005319776900408E-2</v>
      </c>
      <c r="J22" s="259">
        <v>0.10403965059589615</v>
      </c>
    </row>
    <row r="23" spans="1:10">
      <c r="A23" s="244">
        <v>24</v>
      </c>
      <c r="B23" s="248" t="s">
        <v>129</v>
      </c>
      <c r="C23" s="259">
        <v>2762.3487485889082</v>
      </c>
      <c r="D23" s="259">
        <v>1572.5415460659133</v>
      </c>
      <c r="E23" s="259">
        <v>2605.7996610685877</v>
      </c>
      <c r="F23" s="259">
        <v>73609.192912457002</v>
      </c>
      <c r="G23" s="259">
        <v>498633.56302226009</v>
      </c>
      <c r="H23" s="259">
        <v>28657906.571737852</v>
      </c>
      <c r="I23" s="259">
        <v>2984.3830372594657</v>
      </c>
      <c r="J23" s="259">
        <v>452.28108311129722</v>
      </c>
    </row>
    <row r="24" spans="1:10">
      <c r="A24" s="244">
        <v>25</v>
      </c>
      <c r="B24" s="252"/>
      <c r="C24" s="258"/>
      <c r="D24" s="258"/>
      <c r="E24" s="258"/>
      <c r="F24" s="258"/>
      <c r="G24" s="258"/>
      <c r="H24" s="258"/>
      <c r="I24" s="258"/>
      <c r="J24" s="258"/>
    </row>
    <row r="25" spans="1:10">
      <c r="A25" s="244">
        <v>26</v>
      </c>
      <c r="B25" s="248" t="s">
        <v>130</v>
      </c>
      <c r="C25" s="259">
        <v>1</v>
      </c>
      <c r="D25" s="259">
        <v>0.41746476218191231</v>
      </c>
      <c r="E25" s="259">
        <v>0.13387451033814959</v>
      </c>
      <c r="F25" s="259">
        <v>0.22673511573943542</v>
      </c>
      <c r="G25" s="259">
        <v>9.2561887360677317E-2</v>
      </c>
      <c r="H25" s="259">
        <v>8.7790340880976134E-2</v>
      </c>
      <c r="I25" s="259">
        <v>3.9860096436682563E-2</v>
      </c>
      <c r="J25" s="259">
        <v>1.7132870621667752E-3</v>
      </c>
    </row>
    <row r="26" spans="1:10">
      <c r="A26" s="244">
        <v>27</v>
      </c>
      <c r="B26" s="248" t="s">
        <v>127</v>
      </c>
      <c r="C26" s="259">
        <v>261374098.07709274</v>
      </c>
      <c r="D26" s="259">
        <v>109114475.69426534</v>
      </c>
      <c r="E26" s="259">
        <v>34991329.395146281</v>
      </c>
      <c r="F26" s="259">
        <v>59262686.378800169</v>
      </c>
      <c r="G26" s="259">
        <v>24193279.825210482</v>
      </c>
      <c r="H26" s="259">
        <v>22946121.167645659</v>
      </c>
      <c r="I26" s="259">
        <v>10418396.755403843</v>
      </c>
      <c r="J26" s="259">
        <v>447808.86062099278</v>
      </c>
    </row>
    <row r="27" spans="1:10">
      <c r="A27" s="244">
        <v>28</v>
      </c>
      <c r="B27" s="248" t="s">
        <v>322</v>
      </c>
      <c r="C27" s="259">
        <v>14.194044356263381</v>
      </c>
      <c r="D27" s="259">
        <v>9.1624879171387121</v>
      </c>
      <c r="E27" s="259">
        <v>16.532079641538733</v>
      </c>
      <c r="F27" s="259">
        <v>25.556154641757029</v>
      </c>
      <c r="G27" s="259">
        <v>28.156531050146942</v>
      </c>
      <c r="H27" s="259">
        <v>35.312590285696615</v>
      </c>
      <c r="I27" s="259">
        <v>19.885040254232663</v>
      </c>
      <c r="J27" s="259">
        <v>12.083933657867743</v>
      </c>
    </row>
    <row r="28" spans="1:10">
      <c r="A28" s="244">
        <v>29</v>
      </c>
      <c r="B28" s="248" t="s">
        <v>128</v>
      </c>
      <c r="C28" s="259">
        <v>6.4838857334113445E-2</v>
      </c>
      <c r="D28" s="259">
        <v>7.1563699340984013E-2</v>
      </c>
      <c r="E28" s="259">
        <v>6.3077088648318499E-2</v>
      </c>
      <c r="F28" s="259">
        <v>6.2333138150532506E-2</v>
      </c>
      <c r="G28" s="259">
        <v>6.005311102232358E-2</v>
      </c>
      <c r="H28" s="259">
        <v>5.4532075199990336E-2</v>
      </c>
      <c r="I28" s="259">
        <v>6.3220038932706113E-2</v>
      </c>
      <c r="J28" s="259">
        <v>3.5846499624032704E-2</v>
      </c>
    </row>
    <row r="29" spans="1:10">
      <c r="A29" s="244">
        <v>30</v>
      </c>
      <c r="B29" s="256" t="s">
        <v>129</v>
      </c>
      <c r="C29" s="260">
        <v>1909.6619870581585</v>
      </c>
      <c r="D29" s="260">
        <v>1012.290333309499</v>
      </c>
      <c r="E29" s="260">
        <v>1755.8312268014611</v>
      </c>
      <c r="F29" s="260">
        <v>55071.017102093305</v>
      </c>
      <c r="G29" s="260">
        <v>375221.82316153008</v>
      </c>
      <c r="H29" s="260">
        <v>22946121.167645659</v>
      </c>
      <c r="I29" s="260">
        <v>2028.6238707445584</v>
      </c>
      <c r="J29" s="260">
        <v>155.83187354865771</v>
      </c>
    </row>
    <row r="30" spans="1:10">
      <c r="A30" s="244">
        <v>31</v>
      </c>
      <c r="B30" s="252"/>
      <c r="C30" s="258"/>
      <c r="D30" s="258"/>
      <c r="E30" s="258"/>
      <c r="F30" s="258"/>
      <c r="G30" s="258"/>
      <c r="H30" s="258"/>
      <c r="I30" s="258"/>
      <c r="J30" s="258"/>
    </row>
    <row r="31" spans="1:10">
      <c r="A31" s="244">
        <v>32</v>
      </c>
      <c r="B31" s="248" t="s">
        <v>131</v>
      </c>
      <c r="C31" s="259">
        <v>1</v>
      </c>
      <c r="D31" s="259">
        <v>0.44867197068553372</v>
      </c>
      <c r="E31" s="259">
        <v>0.1304569660892432</v>
      </c>
      <c r="F31" s="259">
        <v>0.21879031288295017</v>
      </c>
      <c r="G31" s="259">
        <v>8.6637066012493741E-2</v>
      </c>
      <c r="H31" s="259">
        <v>7.5957141126644687E-2</v>
      </c>
      <c r="I31" s="259">
        <v>3.8922870261702637E-2</v>
      </c>
      <c r="J31" s="259">
        <v>5.6367294143193608E-4</v>
      </c>
    </row>
    <row r="32" spans="1:10">
      <c r="A32" s="244">
        <v>33</v>
      </c>
      <c r="B32" s="248" t="s">
        <v>127</v>
      </c>
      <c r="C32" s="259">
        <v>89745114.689381093</v>
      </c>
      <c r="D32" s="259">
        <v>40266117.467083856</v>
      </c>
      <c r="E32" s="259">
        <v>11707875.383707834</v>
      </c>
      <c r="F32" s="259">
        <v>19635361.722605936</v>
      </c>
      <c r="G32" s="259">
        <v>7775253.4256427325</v>
      </c>
      <c r="H32" s="259">
        <v>6816782.3418882331</v>
      </c>
      <c r="I32" s="259">
        <v>3493137.4556764038</v>
      </c>
      <c r="J32" s="259">
        <v>50586.892776109918</v>
      </c>
    </row>
    <row r="33" spans="1:10">
      <c r="A33" s="244">
        <v>34</v>
      </c>
      <c r="B33" s="248" t="s">
        <v>322</v>
      </c>
      <c r="C33" s="259">
        <v>4.8736510160363959</v>
      </c>
      <c r="D33" s="259">
        <v>3.3811995375938371</v>
      </c>
      <c r="E33" s="259">
        <v>5.5315282849332741</v>
      </c>
      <c r="F33" s="259">
        <v>8.4674585526258337</v>
      </c>
      <c r="G33" s="259">
        <v>9.0489659146480097</v>
      </c>
      <c r="H33" s="259">
        <v>10.490585321465424</v>
      </c>
      <c r="I33" s="259">
        <v>6.667165836592357</v>
      </c>
      <c r="J33" s="259">
        <v>1.3650660136927284</v>
      </c>
    </row>
    <row r="34" spans="1:10">
      <c r="A34" s="244">
        <v>35</v>
      </c>
      <c r="B34" s="248" t="s">
        <v>128</v>
      </c>
      <c r="C34" s="259">
        <v>2.226299671845109E-2</v>
      </c>
      <c r="D34" s="259">
        <v>2.6408891264961463E-2</v>
      </c>
      <c r="E34" s="259">
        <v>2.1105191092397984E-2</v>
      </c>
      <c r="F34" s="259">
        <v>2.0652687039322389E-2</v>
      </c>
      <c r="G34" s="259">
        <v>1.9299911403920716E-2</v>
      </c>
      <c r="H34" s="259">
        <v>1.6200266902362755E-2</v>
      </c>
      <c r="I34" s="259">
        <v>2.1196762911780284E-2</v>
      </c>
      <c r="J34" s="259">
        <v>4.0494130249346802E-3</v>
      </c>
    </row>
    <row r="35" spans="1:10">
      <c r="A35" s="244">
        <v>36</v>
      </c>
      <c r="B35" s="248" t="s">
        <v>129</v>
      </c>
      <c r="C35" s="259">
        <v>655.6993799589743</v>
      </c>
      <c r="D35" s="259">
        <v>373.56181398006765</v>
      </c>
      <c r="E35" s="259">
        <v>587.48991688969284</v>
      </c>
      <c r="F35" s="259">
        <v>18246.5461373051</v>
      </c>
      <c r="G35" s="259">
        <v>120589.05559685588</v>
      </c>
      <c r="H35" s="259">
        <v>6816782.3418882331</v>
      </c>
      <c r="I35" s="259">
        <v>680.16818640560439</v>
      </c>
      <c r="J35" s="259">
        <v>17.603604956307823</v>
      </c>
    </row>
    <row r="36" spans="1:10">
      <c r="A36" s="244">
        <v>37</v>
      </c>
      <c r="B36" s="252"/>
      <c r="C36" s="258"/>
      <c r="D36" s="258"/>
      <c r="E36" s="258"/>
      <c r="F36" s="258"/>
      <c r="G36" s="258"/>
      <c r="H36" s="258"/>
      <c r="I36" s="258"/>
      <c r="J36" s="258"/>
    </row>
    <row r="37" spans="1:10">
      <c r="A37" s="244">
        <v>38</v>
      </c>
      <c r="B37" s="248" t="s">
        <v>132</v>
      </c>
      <c r="C37" s="259">
        <v>1</v>
      </c>
      <c r="D37" s="259">
        <v>0.40114645480158984</v>
      </c>
      <c r="E37" s="259">
        <v>0.13566155058345175</v>
      </c>
      <c r="F37" s="259">
        <v>0.23088946793255599</v>
      </c>
      <c r="G37" s="259">
        <v>9.5659987465399471E-2</v>
      </c>
      <c r="H37" s="259">
        <v>9.39779430454417E-2</v>
      </c>
      <c r="I37" s="259">
        <v>4.0350173747071644E-2</v>
      </c>
      <c r="J37" s="259">
        <v>2.3144224244896583E-3</v>
      </c>
    </row>
    <row r="38" spans="1:10">
      <c r="A38" s="244">
        <v>39</v>
      </c>
      <c r="B38" s="248" t="s">
        <v>127</v>
      </c>
      <c r="C38" s="259">
        <v>171628983.38771164</v>
      </c>
      <c r="D38" s="259">
        <v>68848358.227181479</v>
      </c>
      <c r="E38" s="259">
        <v>23283454.011438444</v>
      </c>
      <c r="F38" s="259">
        <v>39627324.656194232</v>
      </c>
      <c r="G38" s="259">
        <v>16418026.399567749</v>
      </c>
      <c r="H38" s="259">
        <v>16129338.825757425</v>
      </c>
      <c r="I38" s="259">
        <v>6925259.299727438</v>
      </c>
      <c r="J38" s="259">
        <v>397221.96784488286</v>
      </c>
    </row>
    <row r="39" spans="1:10">
      <c r="A39" s="244">
        <v>40</v>
      </c>
      <c r="B39" s="248" t="s">
        <v>322</v>
      </c>
      <c r="C39" s="259">
        <v>9.3203933402269854</v>
      </c>
      <c r="D39" s="259">
        <v>5.7812883795448755</v>
      </c>
      <c r="E39" s="259">
        <v>11.000551356605458</v>
      </c>
      <c r="F39" s="259">
        <v>17.088696089131197</v>
      </c>
      <c r="G39" s="259">
        <v>19.107565135498934</v>
      </c>
      <c r="H39" s="259">
        <v>24.822004964231187</v>
      </c>
      <c r="I39" s="259">
        <v>13.217874417640305</v>
      </c>
      <c r="J39" s="259">
        <v>10.718867644175015</v>
      </c>
    </row>
    <row r="40" spans="1:10">
      <c r="A40" s="244">
        <v>41</v>
      </c>
      <c r="B40" s="248" t="s">
        <v>128</v>
      </c>
      <c r="C40" s="259">
        <v>4.2575860615662348E-2</v>
      </c>
      <c r="D40" s="259">
        <v>4.5154808076022547E-2</v>
      </c>
      <c r="E40" s="259">
        <v>4.1971897555920505E-2</v>
      </c>
      <c r="F40" s="259">
        <v>4.1680451111210118E-2</v>
      </c>
      <c r="G40" s="259">
        <v>4.0753199618402867E-2</v>
      </c>
      <c r="H40" s="259">
        <v>3.8331808297627584E-2</v>
      </c>
      <c r="I40" s="259">
        <v>4.2023276020925822E-2</v>
      </c>
      <c r="J40" s="259">
        <v>3.1797086599098023E-2</v>
      </c>
    </row>
    <row r="41" spans="1:10">
      <c r="A41" s="244">
        <v>42</v>
      </c>
      <c r="B41" s="248" t="s">
        <v>129</v>
      </c>
      <c r="C41" s="259">
        <v>1253.9626070991844</v>
      </c>
      <c r="D41" s="259">
        <v>638.72851932943138</v>
      </c>
      <c r="E41" s="259">
        <v>1168.3413099117681</v>
      </c>
      <c r="F41" s="259">
        <v>36824.470964788205</v>
      </c>
      <c r="G41" s="259">
        <v>254632.7675646742</v>
      </c>
      <c r="H41" s="259">
        <v>16129338.825757425</v>
      </c>
      <c r="I41" s="259">
        <v>1348.4556843389539</v>
      </c>
      <c r="J41" s="259">
        <v>138.22826859234991</v>
      </c>
    </row>
    <row r="42" spans="1:10">
      <c r="A42" s="244">
        <v>43</v>
      </c>
      <c r="B42" s="252"/>
      <c r="C42" s="258"/>
      <c r="D42" s="258"/>
      <c r="E42" s="258"/>
      <c r="F42" s="258"/>
      <c r="G42" s="258"/>
      <c r="H42" s="258"/>
      <c r="I42" s="258"/>
      <c r="J42" s="258"/>
    </row>
    <row r="43" spans="1:10">
      <c r="A43" s="244">
        <v>44</v>
      </c>
      <c r="B43" s="248" t="s">
        <v>133</v>
      </c>
      <c r="C43" s="259">
        <v>1</v>
      </c>
      <c r="D43" s="259">
        <v>0.44557364458074739</v>
      </c>
      <c r="E43" s="259">
        <v>0.13269776521382692</v>
      </c>
      <c r="F43" s="259">
        <v>0.21291520350906132</v>
      </c>
      <c r="G43" s="259">
        <v>8.6219385163512519E-2</v>
      </c>
      <c r="H43" s="259">
        <v>8.4609132404762977E-2</v>
      </c>
      <c r="I43" s="259">
        <v>3.6862766429007522E-2</v>
      </c>
      <c r="J43" s="259">
        <v>1.1221026990812821E-3</v>
      </c>
    </row>
    <row r="44" spans="1:10">
      <c r="A44" s="244">
        <v>45</v>
      </c>
      <c r="B44" s="248" t="s">
        <v>127</v>
      </c>
      <c r="C44" s="259">
        <v>50417998.795927636</v>
      </c>
      <c r="D44" s="259">
        <v>22464931.47596921</v>
      </c>
      <c r="E44" s="259">
        <v>6690355.7667730143</v>
      </c>
      <c r="F44" s="259">
        <v>10734758.474154541</v>
      </c>
      <c r="G44" s="259">
        <v>4347008.8573595956</v>
      </c>
      <c r="H44" s="259">
        <v>4265823.1357078217</v>
      </c>
      <c r="I44" s="259">
        <v>1858546.9134322631</v>
      </c>
      <c r="J44" s="259">
        <v>56574.172531187229</v>
      </c>
    </row>
    <row r="45" spans="1:10">
      <c r="A45" s="244">
        <v>46</v>
      </c>
      <c r="B45" s="248" t="s">
        <v>322</v>
      </c>
      <c r="C45" s="259">
        <v>2.7379733360279364</v>
      </c>
      <c r="D45" s="259">
        <v>1.8864102301573444</v>
      </c>
      <c r="E45" s="259">
        <v>3.1609400465322626</v>
      </c>
      <c r="F45" s="259">
        <v>4.6292053966953404</v>
      </c>
      <c r="G45" s="259">
        <v>5.0591193402378787</v>
      </c>
      <c r="H45" s="259">
        <v>6.5648247702490332</v>
      </c>
      <c r="I45" s="259">
        <v>3.547309730627346</v>
      </c>
      <c r="J45" s="259">
        <v>1.5266302383289239</v>
      </c>
    </row>
    <row r="46" spans="1:10">
      <c r="A46" s="244">
        <v>47</v>
      </c>
      <c r="B46" s="248" t="s">
        <v>128</v>
      </c>
      <c r="C46" s="259">
        <v>1.2507151454756794E-2</v>
      </c>
      <c r="D46" s="259">
        <v>1.4733825110122967E-2</v>
      </c>
      <c r="E46" s="259">
        <v>1.2060363841108247E-2</v>
      </c>
      <c r="F46" s="259">
        <v>1.1290935728175839E-2</v>
      </c>
      <c r="G46" s="259">
        <v>1.0790244539477963E-2</v>
      </c>
      <c r="H46" s="259">
        <v>1.0137843617520889E-2</v>
      </c>
      <c r="I46" s="259">
        <v>1.1277878063580615E-2</v>
      </c>
      <c r="J46" s="259">
        <v>4.528686751657577E-3</v>
      </c>
    </row>
    <row r="47" spans="1:10">
      <c r="A47" s="244">
        <v>48</v>
      </c>
      <c r="B47" s="248" t="s">
        <v>129</v>
      </c>
      <c r="C47" s="259">
        <v>368.36601818030442</v>
      </c>
      <c r="D47" s="259">
        <v>208.41444571757324</v>
      </c>
      <c r="E47" s="259">
        <v>335.71561231796932</v>
      </c>
      <c r="F47" s="259">
        <v>9975.4854806663698</v>
      </c>
      <c r="G47" s="259">
        <v>67419.242059859767</v>
      </c>
      <c r="H47" s="259">
        <v>4265823.1357078217</v>
      </c>
      <c r="I47" s="259">
        <v>361.88798737499832</v>
      </c>
      <c r="J47" s="259">
        <v>19.687103305134169</v>
      </c>
    </row>
    <row r="48" spans="1:10">
      <c r="A48" s="244">
        <v>49</v>
      </c>
      <c r="B48" s="252"/>
      <c r="C48" s="258"/>
      <c r="D48" s="258"/>
      <c r="E48" s="258"/>
      <c r="F48" s="258"/>
      <c r="G48" s="258"/>
      <c r="H48" s="258"/>
      <c r="I48" s="258"/>
      <c r="J48" s="258"/>
    </row>
    <row r="49" spans="1:10">
      <c r="A49" s="244">
        <v>50</v>
      </c>
      <c r="B49" s="248" t="s">
        <v>134</v>
      </c>
      <c r="C49" s="259">
        <v>1</v>
      </c>
      <c r="D49" s="259">
        <v>0.44557364456978593</v>
      </c>
      <c r="E49" s="259">
        <v>0.13269776521325674</v>
      </c>
      <c r="F49" s="259">
        <v>0.21291520351568108</v>
      </c>
      <c r="G49" s="259">
        <v>8.6219385166292267E-2</v>
      </c>
      <c r="H49" s="259">
        <v>8.460913240771073E-2</v>
      </c>
      <c r="I49" s="259">
        <v>3.6862766428866434E-2</v>
      </c>
      <c r="J49" s="259">
        <v>1.1221026984066817E-3</v>
      </c>
    </row>
    <row r="50" spans="1:10">
      <c r="A50" s="244">
        <v>51</v>
      </c>
      <c r="B50" s="248" t="s">
        <v>127</v>
      </c>
      <c r="C50" s="259">
        <v>50417997.968027607</v>
      </c>
      <c r="D50" s="259">
        <v>22464931.106526121</v>
      </c>
      <c r="E50" s="259">
        <v>6690355.6568837827</v>
      </c>
      <c r="F50" s="259">
        <v>10734758.298215793</v>
      </c>
      <c r="G50" s="259">
        <v>4347008.7861187132</v>
      </c>
      <c r="H50" s="259">
        <v>4265823.0658085383</v>
      </c>
      <c r="I50" s="259">
        <v>1858546.8829064642</v>
      </c>
      <c r="J50" s="259">
        <v>56574.171568186372</v>
      </c>
    </row>
    <row r="51" spans="1:10">
      <c r="A51" s="244">
        <v>52</v>
      </c>
      <c r="B51" s="248" t="s">
        <v>322</v>
      </c>
      <c r="C51" s="259">
        <v>2.7379732910684327</v>
      </c>
      <c r="D51" s="259">
        <v>1.886410199134716</v>
      </c>
      <c r="E51" s="259">
        <v>3.1609399946137571</v>
      </c>
      <c r="F51" s="259">
        <v>4.6292053208243651</v>
      </c>
      <c r="G51" s="259">
        <v>5.0591192573265857</v>
      </c>
      <c r="H51" s="259">
        <v>6.5648246626785758</v>
      </c>
      <c r="I51" s="259">
        <v>3.5473096723643756</v>
      </c>
      <c r="J51" s="259">
        <v>1.5266302123427511</v>
      </c>
    </row>
    <row r="52" spans="1:10">
      <c r="A52" s="244">
        <v>53</v>
      </c>
      <c r="B52" s="248" t="s">
        <v>128</v>
      </c>
      <c r="C52" s="259">
        <v>1.2507151249380314E-2</v>
      </c>
      <c r="D52" s="259">
        <v>1.4733824867820431E-2</v>
      </c>
      <c r="E52" s="259">
        <v>1.2060363643016521E-2</v>
      </c>
      <c r="F52" s="259">
        <v>1.1290935543121551E-2</v>
      </c>
      <c r="G52" s="259">
        <v>1.0790244362642219E-2</v>
      </c>
      <c r="H52" s="259">
        <v>1.013784345140336E-2</v>
      </c>
      <c r="I52" s="259">
        <v>1.127787787834653E-2</v>
      </c>
      <c r="J52" s="259">
        <v>4.5286866745706481E-3</v>
      </c>
    </row>
    <row r="53" spans="1:10">
      <c r="A53" s="244">
        <v>54</v>
      </c>
      <c r="B53" s="248" t="s">
        <v>129</v>
      </c>
      <c r="C53" s="259">
        <v>368.36601213146781</v>
      </c>
      <c r="D53" s="259">
        <v>208.41444229013004</v>
      </c>
      <c r="E53" s="259">
        <v>335.71560680383345</v>
      </c>
      <c r="F53" s="259">
        <v>9975.4853171718278</v>
      </c>
      <c r="G53" s="259">
        <v>67419.240954960638</v>
      </c>
      <c r="H53" s="259">
        <v>4265823.0658085383</v>
      </c>
      <c r="I53" s="259">
        <v>361.88798143115054</v>
      </c>
      <c r="J53" s="259">
        <v>19.687102970021936</v>
      </c>
    </row>
    <row r="54" spans="1:10">
      <c r="A54" s="244">
        <v>55</v>
      </c>
      <c r="B54" s="252"/>
      <c r="C54" s="258"/>
      <c r="D54" s="258"/>
      <c r="E54" s="258"/>
      <c r="F54" s="258"/>
      <c r="G54" s="258"/>
      <c r="H54" s="258"/>
      <c r="I54" s="258"/>
      <c r="J54" s="258"/>
    </row>
    <row r="55" spans="1:10">
      <c r="A55" s="244">
        <v>56</v>
      </c>
      <c r="B55" s="248" t="s">
        <v>135</v>
      </c>
      <c r="C55" s="259">
        <v>1</v>
      </c>
      <c r="D55" s="259">
        <v>0.44624118059914453</v>
      </c>
      <c r="E55" s="259">
        <v>0.13273248911837635</v>
      </c>
      <c r="F55" s="259">
        <v>0.21251206685915214</v>
      </c>
      <c r="G55" s="259">
        <v>8.6050102083598368E-2</v>
      </c>
      <c r="H55" s="259">
        <v>8.4429617970647991E-2</v>
      </c>
      <c r="I55" s="259">
        <v>3.6871358418326804E-2</v>
      </c>
      <c r="J55" s="259">
        <v>1.1631849507539695E-3</v>
      </c>
    </row>
    <row r="56" spans="1:10">
      <c r="A56" s="244">
        <v>57</v>
      </c>
      <c r="B56" s="248" t="s">
        <v>127</v>
      </c>
      <c r="C56" s="259">
        <v>0.82790003269638113</v>
      </c>
      <c r="D56" s="259">
        <v>0.36944308800850345</v>
      </c>
      <c r="E56" s="259">
        <v>0.10988923208097583</v>
      </c>
      <c r="F56" s="259">
        <v>0.17593874710106758</v>
      </c>
      <c r="G56" s="259">
        <v>7.1240882328538022E-2</v>
      </c>
      <c r="H56" s="259">
        <v>6.9899283478442445E-2</v>
      </c>
      <c r="I56" s="259">
        <v>3.0525798840092749E-2</v>
      </c>
      <c r="J56" s="259">
        <v>9.6300085876114985E-4</v>
      </c>
    </row>
    <row r="57" spans="1:10">
      <c r="A57" s="244">
        <v>58</v>
      </c>
      <c r="B57" s="248" t="s">
        <v>322</v>
      </c>
      <c r="C57" s="259">
        <v>4.4959503918319734E-8</v>
      </c>
      <c r="D57" s="259">
        <v>3.1022628376394528E-8</v>
      </c>
      <c r="E57" s="259">
        <v>5.1918505753091608E-8</v>
      </c>
      <c r="F57" s="259">
        <v>7.5870975535127206E-8</v>
      </c>
      <c r="G57" s="259">
        <v>8.291129312831375E-8</v>
      </c>
      <c r="H57" s="259">
        <v>1.0757045780000377E-7</v>
      </c>
      <c r="I57" s="259">
        <v>5.8262970107469668E-8</v>
      </c>
      <c r="J57" s="259">
        <v>2.5986172925658894E-8</v>
      </c>
    </row>
    <row r="58" spans="1:10">
      <c r="A58" s="244">
        <v>59</v>
      </c>
      <c r="B58" s="248" t="s">
        <v>128</v>
      </c>
      <c r="C58" s="259">
        <v>2.0537647954341471E-10</v>
      </c>
      <c r="D58" s="259">
        <v>2.4230253507266554E-10</v>
      </c>
      <c r="E58" s="259">
        <v>1.9809172595851241E-10</v>
      </c>
      <c r="F58" s="259">
        <v>1.8505428793733462E-10</v>
      </c>
      <c r="G58" s="259">
        <v>1.7683574309531482E-10</v>
      </c>
      <c r="H58" s="259">
        <v>1.6611753050648442E-10</v>
      </c>
      <c r="I58" s="259">
        <v>1.8523408509295281E-10</v>
      </c>
      <c r="J58" s="259">
        <v>7.7086929172536479E-11</v>
      </c>
    </row>
    <row r="59" spans="1:10">
      <c r="A59" s="244">
        <v>60</v>
      </c>
      <c r="B59" s="248" t="s">
        <v>129</v>
      </c>
      <c r="C59" s="259">
        <v>6.0488366412580188E-6</v>
      </c>
      <c r="D59" s="259">
        <v>3.4274431904608763E-6</v>
      </c>
      <c r="E59" s="259">
        <v>5.5141358877257841E-6</v>
      </c>
      <c r="F59" s="259">
        <v>1.6349454171874696E-4</v>
      </c>
      <c r="G59" s="259">
        <v>1.1048991267027396E-3</v>
      </c>
      <c r="H59" s="259">
        <v>6.9899283478442445E-2</v>
      </c>
      <c r="I59" s="259">
        <v>5.943847758383658E-6</v>
      </c>
      <c r="J59" s="259">
        <v>3.3511223480842703E-7</v>
      </c>
    </row>
    <row r="60" spans="1:10">
      <c r="A60" s="244">
        <v>61</v>
      </c>
      <c r="B60" s="252"/>
      <c r="C60" s="258"/>
      <c r="D60" s="258"/>
      <c r="E60" s="258"/>
      <c r="F60" s="258"/>
      <c r="G60" s="258"/>
      <c r="H60" s="258"/>
      <c r="I60" s="258"/>
      <c r="J60" s="258"/>
    </row>
    <row r="61" spans="1:10">
      <c r="A61" s="244">
        <v>62</v>
      </c>
      <c r="B61" s="248" t="s">
        <v>136</v>
      </c>
      <c r="C61" s="259">
        <v>1</v>
      </c>
      <c r="D61" s="259">
        <v>0.55929501561255934</v>
      </c>
      <c r="E61" s="259">
        <v>0.16029605936710739</v>
      </c>
      <c r="F61" s="259">
        <v>0.14513873747256792</v>
      </c>
      <c r="G61" s="259">
        <v>5.6576508700076827E-2</v>
      </c>
      <c r="H61" s="259">
        <v>1.4187521685382105E-2</v>
      </c>
      <c r="I61" s="259">
        <v>5.1335925416066838E-2</v>
      </c>
      <c r="J61" s="259">
        <v>1.3170231746239833E-2</v>
      </c>
    </row>
    <row r="62" spans="1:10">
      <c r="A62" s="244">
        <v>63</v>
      </c>
      <c r="B62" s="248" t="s">
        <v>127</v>
      </c>
      <c r="C62" s="259">
        <v>47185419.63125138</v>
      </c>
      <c r="D62" s="259">
        <v>26390570.009345904</v>
      </c>
      <c r="E62" s="259">
        <v>7563636.8264729455</v>
      </c>
      <c r="F62" s="259">
        <v>6848432.2323931465</v>
      </c>
      <c r="G62" s="259">
        <v>2669586.3042842695</v>
      </c>
      <c r="H62" s="259">
        <v>669444.16425223346</v>
      </c>
      <c r="I62" s="259">
        <v>2422307.1829157369</v>
      </c>
      <c r="J62" s="259">
        <v>621442.91158715519</v>
      </c>
    </row>
    <row r="63" spans="1:10">
      <c r="A63" s="244">
        <v>64</v>
      </c>
      <c r="B63" s="248" t="s">
        <v>322</v>
      </c>
      <c r="C63" s="259">
        <v>2.5624265913959787</v>
      </c>
      <c r="D63" s="259">
        <v>2.2160513286482617</v>
      </c>
      <c r="E63" s="259">
        <v>3.5735323166164399</v>
      </c>
      <c r="F63" s="259">
        <v>2.9532848387251258</v>
      </c>
      <c r="G63" s="259">
        <v>3.1069077946719905</v>
      </c>
      <c r="H63" s="259">
        <v>1.0302310930320613</v>
      </c>
      <c r="I63" s="259">
        <v>4.6233289988128554</v>
      </c>
      <c r="J63" s="259">
        <v>16.76937545487084</v>
      </c>
    </row>
    <row r="64" spans="1:10">
      <c r="A64" s="244">
        <v>65</v>
      </c>
      <c r="B64" s="248" t="s">
        <v>128</v>
      </c>
      <c r="C64" s="259">
        <v>1.1705248202591959E-2</v>
      </c>
      <c r="D64" s="259">
        <v>1.7308490056606469E-2</v>
      </c>
      <c r="E64" s="259">
        <v>1.3634583162573377E-2</v>
      </c>
      <c r="F64" s="259">
        <v>7.2032555144012087E-3</v>
      </c>
      <c r="G64" s="259">
        <v>6.6265080168171446E-3</v>
      </c>
      <c r="H64" s="259">
        <v>1.5909520934052979E-3</v>
      </c>
      <c r="I64" s="259">
        <v>1.4698840714765094E-2</v>
      </c>
      <c r="J64" s="259">
        <v>4.9745672887479365E-2</v>
      </c>
    </row>
    <row r="65" spans="1:10">
      <c r="A65" s="244">
        <v>66</v>
      </c>
      <c r="B65" s="248" t="s">
        <v>129</v>
      </c>
      <c r="C65" s="259">
        <v>344.7480177879408</v>
      </c>
      <c r="D65" s="259">
        <v>244.83386591017157</v>
      </c>
      <c r="E65" s="259">
        <v>379.53601528351373</v>
      </c>
      <c r="F65" s="259">
        <v>6364.040370730926</v>
      </c>
      <c r="G65" s="259">
        <v>41403.523929681993</v>
      </c>
      <c r="H65" s="259">
        <v>669444.16425223346</v>
      </c>
      <c r="I65" s="259">
        <v>471.66087920294342</v>
      </c>
      <c r="J65" s="259">
        <v>216.25434807579924</v>
      </c>
    </row>
    <row r="66" spans="1:10">
      <c r="A66" s="244">
        <v>67</v>
      </c>
      <c r="B66" s="252"/>
      <c r="C66" s="258"/>
      <c r="D66" s="258"/>
      <c r="E66" s="258"/>
      <c r="F66" s="258"/>
      <c r="G66" s="258"/>
      <c r="H66" s="258"/>
      <c r="I66" s="258"/>
      <c r="J66" s="258"/>
    </row>
    <row r="67" spans="1:10">
      <c r="A67" s="244">
        <v>68</v>
      </c>
      <c r="B67" s="248" t="s">
        <v>137</v>
      </c>
      <c r="C67" s="259">
        <v>1</v>
      </c>
      <c r="D67" s="259">
        <v>0.4479999421535355</v>
      </c>
      <c r="E67" s="259">
        <v>0.12838261803294504</v>
      </c>
      <c r="F67" s="259">
        <v>0.20994846038404363</v>
      </c>
      <c r="G67" s="259">
        <v>9.0936184785463364E-2</v>
      </c>
      <c r="H67" s="259">
        <v>7.0312757796809594E-2</v>
      </c>
      <c r="I67" s="259">
        <v>5.0849874310746508E-2</v>
      </c>
      <c r="J67" s="259">
        <v>1.5701625364564057E-3</v>
      </c>
    </row>
    <row r="68" spans="1:10">
      <c r="A68" s="244">
        <v>69</v>
      </c>
      <c r="B68" s="248" t="s">
        <v>127</v>
      </c>
      <c r="C68" s="259">
        <v>7734042.237820562</v>
      </c>
      <c r="D68" s="259">
        <v>3464850.4751566122</v>
      </c>
      <c r="E68" s="259">
        <v>992916.5904687806</v>
      </c>
      <c r="F68" s="259">
        <v>1623750.2603755905</v>
      </c>
      <c r="G68" s="259">
        <v>703304.29407702922</v>
      </c>
      <c r="H68" s="259">
        <v>543801.8386581724</v>
      </c>
      <c r="I68" s="259">
        <v>393275.07570718025</v>
      </c>
      <c r="J68" s="259">
        <v>12143.703377197309</v>
      </c>
    </row>
    <row r="69" spans="1:10">
      <c r="A69" s="244">
        <v>70</v>
      </c>
      <c r="B69" s="248" t="s">
        <v>322</v>
      </c>
      <c r="C69" s="259">
        <v>0.42000083169855856</v>
      </c>
      <c r="D69" s="259">
        <v>0.29094811125031395</v>
      </c>
      <c r="E69" s="259">
        <v>0.4691155333272915</v>
      </c>
      <c r="F69" s="259">
        <v>0.70021821974976051</v>
      </c>
      <c r="G69" s="259">
        <v>0.81851693267509529</v>
      </c>
      <c r="H69" s="259">
        <v>0.83687571353981594</v>
      </c>
      <c r="I69" s="259">
        <v>0.75062323839485456</v>
      </c>
      <c r="J69" s="259">
        <v>0.32769272534576899</v>
      </c>
    </row>
    <row r="70" spans="1:10">
      <c r="A70" s="244">
        <v>71</v>
      </c>
      <c r="B70" s="248" t="s">
        <v>128</v>
      </c>
      <c r="C70" s="259">
        <v>1.9185774908963874E-3</v>
      </c>
      <c r="D70" s="259">
        <v>2.2724530002814752E-3</v>
      </c>
      <c r="E70" s="259">
        <v>1.7898802040391469E-3</v>
      </c>
      <c r="F70" s="259">
        <v>1.707878185862353E-3</v>
      </c>
      <c r="G70" s="259">
        <v>1.7457579608810771E-3</v>
      </c>
      <c r="H70" s="259">
        <v>1.2923597214074647E-3</v>
      </c>
      <c r="I70" s="259">
        <v>2.3864387372821965E-3</v>
      </c>
      <c r="J70" s="259">
        <v>9.7208719349904985E-4</v>
      </c>
    </row>
    <row r="71" spans="1:10">
      <c r="A71" s="244">
        <v>72</v>
      </c>
      <c r="B71" s="248" t="s">
        <v>129</v>
      </c>
      <c r="C71" s="259">
        <v>56.506771621692522</v>
      </c>
      <c r="D71" s="259">
        <v>32.144540126752418</v>
      </c>
      <c r="E71" s="259">
        <v>49.823598739753876</v>
      </c>
      <c r="F71" s="259">
        <v>1508.9018710204989</v>
      </c>
      <c r="G71" s="259">
        <v>10907.786020228859</v>
      </c>
      <c r="H71" s="259">
        <v>543801.8386581724</v>
      </c>
      <c r="I71" s="259">
        <v>76.576773286604819</v>
      </c>
      <c r="J71" s="259">
        <v>4.2258566444254635</v>
      </c>
    </row>
    <row r="72" spans="1:10">
      <c r="A72" s="244">
        <v>73</v>
      </c>
      <c r="B72" s="252"/>
      <c r="C72" s="258"/>
      <c r="D72" s="258"/>
      <c r="E72" s="258"/>
      <c r="F72" s="258"/>
      <c r="G72" s="258"/>
      <c r="H72" s="258"/>
      <c r="I72" s="258"/>
      <c r="J72" s="258"/>
    </row>
    <row r="73" spans="1:10">
      <c r="A73" s="244">
        <v>74</v>
      </c>
      <c r="B73" s="248" t="s">
        <v>138</v>
      </c>
      <c r="C73" s="259">
        <v>1</v>
      </c>
      <c r="D73" s="259">
        <v>0.55315227952140211</v>
      </c>
      <c r="E73" s="259">
        <v>0.13850919807978812</v>
      </c>
      <c r="F73" s="259">
        <v>0.16744761948200984</v>
      </c>
      <c r="G73" s="259">
        <v>7.1599562390491991E-2</v>
      </c>
      <c r="H73" s="259">
        <v>5.5187069110453676E-3</v>
      </c>
      <c r="I73" s="259">
        <v>4.1173354008954208E-2</v>
      </c>
      <c r="J73" s="259">
        <v>2.2599279606308656E-2</v>
      </c>
    </row>
    <row r="74" spans="1:10">
      <c r="A74" s="244">
        <v>75</v>
      </c>
      <c r="B74" s="248" t="s">
        <v>127</v>
      </c>
      <c r="C74" s="259">
        <v>25843275.265154731</v>
      </c>
      <c r="D74" s="259">
        <v>14295266.623219406</v>
      </c>
      <c r="E74" s="259">
        <v>3579531.3327318053</v>
      </c>
      <c r="F74" s="259">
        <v>4327394.9227684662</v>
      </c>
      <c r="G74" s="259">
        <v>1850367.1997221047</v>
      </c>
      <c r="H74" s="259">
        <v>142621.46180985722</v>
      </c>
      <c r="I74" s="259">
        <v>1064054.3212430656</v>
      </c>
      <c r="J74" s="259">
        <v>584039.4036600322</v>
      </c>
    </row>
    <row r="75" spans="1:10">
      <c r="A75" s="244">
        <v>76</v>
      </c>
      <c r="B75" s="248" t="s">
        <v>322</v>
      </c>
      <c r="C75" s="259">
        <v>1.4034313197956447</v>
      </c>
      <c r="D75" s="259">
        <v>1.2003925865393494</v>
      </c>
      <c r="E75" s="259">
        <v>1.6911931639931939</v>
      </c>
      <c r="F75" s="259">
        <v>1.866124885654638</v>
      </c>
      <c r="G75" s="259">
        <v>2.1534873274543966</v>
      </c>
      <c r="H75" s="259">
        <v>0.21948516745130384</v>
      </c>
      <c r="I75" s="259">
        <v>2.030903939191401</v>
      </c>
      <c r="J75" s="259">
        <v>15.760057533523534</v>
      </c>
    </row>
    <row r="76" spans="1:10">
      <c r="A76" s="244">
        <v>77</v>
      </c>
      <c r="B76" s="248" t="s">
        <v>128</v>
      </c>
      <c r="C76" s="259">
        <v>6.4109200195857008E-3</v>
      </c>
      <c r="D76" s="259">
        <v>9.3756777559903873E-3</v>
      </c>
      <c r="E76" s="259">
        <v>6.4526389564803733E-3</v>
      </c>
      <c r="F76" s="259">
        <v>4.5516010500889631E-3</v>
      </c>
      <c r="G76" s="259">
        <v>4.5930236693738895E-3</v>
      </c>
      <c r="H76" s="259">
        <v>3.3894374668926551E-4</v>
      </c>
      <c r="I76" s="259">
        <v>6.456804937919957E-3</v>
      </c>
      <c r="J76" s="259">
        <v>4.6751572165604854E-2</v>
      </c>
    </row>
    <row r="77" spans="1:10">
      <c r="A77" s="244">
        <v>78</v>
      </c>
      <c r="B77" s="248" t="s">
        <v>129</v>
      </c>
      <c r="C77" s="259">
        <v>188.81718103677554</v>
      </c>
      <c r="D77" s="259">
        <v>132.62181871554805</v>
      </c>
      <c r="E77" s="259">
        <v>179.61743666122521</v>
      </c>
      <c r="F77" s="259">
        <v>4021.3168582338376</v>
      </c>
      <c r="G77" s="259">
        <v>28697.975603726678</v>
      </c>
      <c r="H77" s="259">
        <v>142621.46180985722</v>
      </c>
      <c r="I77" s="259">
        <v>207.187924065473</v>
      </c>
      <c r="J77" s="259">
        <v>203.2383958914391</v>
      </c>
    </row>
    <row r="78" spans="1:10">
      <c r="A78" s="244">
        <v>79</v>
      </c>
      <c r="B78" s="252"/>
      <c r="C78" s="258"/>
      <c r="D78" s="258"/>
      <c r="E78" s="258"/>
      <c r="F78" s="258"/>
      <c r="G78" s="258"/>
      <c r="H78" s="258"/>
      <c r="I78" s="258"/>
      <c r="J78" s="258"/>
    </row>
    <row r="79" spans="1:10">
      <c r="A79" s="244">
        <v>80</v>
      </c>
      <c r="B79" s="248" t="s">
        <v>139</v>
      </c>
      <c r="C79" s="259">
        <v>1</v>
      </c>
      <c r="D79" s="259">
        <v>0.54774822009553581</v>
      </c>
      <c r="E79" s="259">
        <v>0.24030036962185569</v>
      </c>
      <c r="F79" s="259">
        <v>8.0688451499052349E-2</v>
      </c>
      <c r="G79" s="259">
        <v>7.6174319982220537E-3</v>
      </c>
      <c r="H79" s="259">
        <v>-2.1064457140958998E-3</v>
      </c>
      <c r="I79" s="259">
        <v>0.12383161481738525</v>
      </c>
      <c r="J79" s="259">
        <v>1.9203576820445759E-3</v>
      </c>
    </row>
    <row r="80" spans="1:10">
      <c r="A80" s="244">
        <v>81</v>
      </c>
      <c r="B80" s="248" t="s">
        <v>127</v>
      </c>
      <c r="C80" s="259">
        <v>7527081.0747754239</v>
      </c>
      <c r="D80" s="259">
        <v>4122945.2612230312</v>
      </c>
      <c r="E80" s="259">
        <v>1808760.3644422092</v>
      </c>
      <c r="F80" s="259">
        <v>607348.51623145165</v>
      </c>
      <c r="G80" s="259">
        <v>57337.028232205957</v>
      </c>
      <c r="H80" s="259">
        <v>-15855.387669613052</v>
      </c>
      <c r="I80" s="259">
        <v>932090.60435082042</v>
      </c>
      <c r="J80" s="259">
        <v>14454.687965317327</v>
      </c>
    </row>
    <row r="81" spans="1:10">
      <c r="A81" s="244">
        <v>82</v>
      </c>
      <c r="B81" s="248" t="s">
        <v>322</v>
      </c>
      <c r="C81" s="259">
        <v>0.40876170758527286</v>
      </c>
      <c r="D81" s="259">
        <v>0.34620920733586708</v>
      </c>
      <c r="E81" s="259">
        <v>0.85457085838999514</v>
      </c>
      <c r="F81" s="259">
        <v>0.26191004071332658</v>
      </c>
      <c r="G81" s="259">
        <v>6.6729762454984271E-2</v>
      </c>
      <c r="H81" s="259">
        <v>-2.4400411926151205E-2</v>
      </c>
      <c r="I81" s="259">
        <v>1.7790318053009939</v>
      </c>
      <c r="J81" s="259">
        <v>0.39005367195247842</v>
      </c>
    </row>
    <row r="82" spans="1:10">
      <c r="A82" s="244">
        <v>83</v>
      </c>
      <c r="B82" s="248" t="s">
        <v>128</v>
      </c>
      <c r="C82" s="259">
        <v>1.8672368055602762E-3</v>
      </c>
      <c r="D82" s="259">
        <v>2.7040703187744567E-3</v>
      </c>
      <c r="E82" s="259">
        <v>3.2605602537442301E-3</v>
      </c>
      <c r="F82" s="259">
        <v>6.3881577567699989E-4</v>
      </c>
      <c r="G82" s="259">
        <v>1.4232327931538771E-4</v>
      </c>
      <c r="H82" s="259">
        <v>-3.7680755993892099E-5</v>
      </c>
      <c r="I82" s="259">
        <v>5.6560338101257395E-3</v>
      </c>
      <c r="J82" s="259">
        <v>1.1570784150981746E-3</v>
      </c>
    </row>
    <row r="83" spans="1:10">
      <c r="A83" s="244">
        <v>84</v>
      </c>
      <c r="B83" s="248" t="s">
        <v>129</v>
      </c>
      <c r="C83" s="259">
        <v>54.99466361721813</v>
      </c>
      <c r="D83" s="259">
        <v>38.249898614686117</v>
      </c>
      <c r="E83" s="259">
        <v>90.761853996006067</v>
      </c>
      <c r="F83" s="259">
        <v>564.39055615066161</v>
      </c>
      <c r="G83" s="259">
        <v>889.25951435215416</v>
      </c>
      <c r="H83" s="259">
        <v>-15855.387669613052</v>
      </c>
      <c r="I83" s="259">
        <v>181.49253614305283</v>
      </c>
      <c r="J83" s="259">
        <v>5.0300503301185451</v>
      </c>
    </row>
    <row r="84" spans="1:10">
      <c r="A84" s="244">
        <v>85</v>
      </c>
      <c r="B84" s="252"/>
      <c r="C84" s="258"/>
      <c r="D84" s="258"/>
      <c r="E84" s="258"/>
      <c r="F84" s="258"/>
      <c r="G84" s="258"/>
      <c r="H84" s="258"/>
      <c r="I84" s="258"/>
      <c r="J84" s="258"/>
    </row>
    <row r="85" spans="1:10">
      <c r="A85" s="244">
        <v>86</v>
      </c>
      <c r="B85" s="248" t="s">
        <v>140</v>
      </c>
      <c r="C85" s="259">
        <v>1</v>
      </c>
      <c r="D85" s="259">
        <v>0.68321714290883606</v>
      </c>
      <c r="E85" s="259">
        <v>0.16944734856652982</v>
      </c>
      <c r="F85" s="259">
        <v>6.8587275783581522E-2</v>
      </c>
      <c r="G85" s="259">
        <v>1.05655148170242E-2</v>
      </c>
      <c r="H85" s="259">
        <v>6.606579327740429E-3</v>
      </c>
      <c r="I85" s="259">
        <v>5.2696369536457163E-2</v>
      </c>
      <c r="J85" s="259">
        <v>8.8797690598310178E-3</v>
      </c>
    </row>
    <row r="86" spans="1:10">
      <c r="A86" s="244">
        <v>87</v>
      </c>
      <c r="B86" s="248" t="s">
        <v>127</v>
      </c>
      <c r="C86" s="259">
        <v>1482040.9726678319</v>
      </c>
      <c r="D86" s="259">
        <v>1012555.7990199486</v>
      </c>
      <c r="E86" s="259">
        <v>251127.91328552499</v>
      </c>
      <c r="F86" s="259">
        <v>101649.15291493598</v>
      </c>
      <c r="G86" s="259">
        <v>15658.525856158934</v>
      </c>
      <c r="H86" s="259">
        <v>9791.221252891617</v>
      </c>
      <c r="I86" s="259">
        <v>78098.178763874486</v>
      </c>
      <c r="J86" s="259">
        <v>13160.181574497681</v>
      </c>
    </row>
    <row r="87" spans="1:10">
      <c r="A87" s="244">
        <v>88</v>
      </c>
      <c r="B87" s="248" t="s">
        <v>322</v>
      </c>
      <c r="C87" s="259">
        <v>8.0482937898621779E-2</v>
      </c>
      <c r="D87" s="259">
        <v>8.5025659656233932E-2</v>
      </c>
      <c r="E87" s="259">
        <v>0.11864844046838696</v>
      </c>
      <c r="F87" s="259">
        <v>4.3834689748843372E-2</v>
      </c>
      <c r="G87" s="259">
        <v>1.8223646097336538E-2</v>
      </c>
      <c r="H87" s="259">
        <v>1.5068053636336745E-2</v>
      </c>
      <c r="I87" s="259">
        <v>0.14906184367536165</v>
      </c>
      <c r="J87" s="259">
        <v>0.35512196174768684</v>
      </c>
    </row>
    <row r="88" spans="1:10">
      <c r="A88" s="244">
        <v>89</v>
      </c>
      <c r="B88" s="248" t="s">
        <v>128</v>
      </c>
      <c r="C88" s="259">
        <v>3.6764868400149286E-4</v>
      </c>
      <c r="D88" s="259">
        <v>6.6409372639126185E-4</v>
      </c>
      <c r="E88" s="259">
        <v>4.526955083500073E-4</v>
      </c>
      <c r="F88" s="259">
        <v>1.0691568470304618E-4</v>
      </c>
      <c r="G88" s="259">
        <v>3.8867950045613786E-5</v>
      </c>
      <c r="H88" s="259">
        <v>2.3269101115672906E-5</v>
      </c>
      <c r="I88" s="259">
        <v>4.7390879978386868E-4</v>
      </c>
      <c r="J88" s="259">
        <v>1.0534549120092115E-3</v>
      </c>
    </row>
    <row r="89" spans="1:10">
      <c r="A89" s="244">
        <v>90</v>
      </c>
      <c r="B89" s="248" t="s">
        <v>129</v>
      </c>
      <c r="C89" s="259">
        <v>10.828147584584631</v>
      </c>
      <c r="D89" s="259">
        <v>9.3938081153996702</v>
      </c>
      <c r="E89" s="259">
        <v>12.601356955857121</v>
      </c>
      <c r="F89" s="259">
        <v>94.459474935214246</v>
      </c>
      <c r="G89" s="259">
        <v>242.85341475889774</v>
      </c>
      <c r="H89" s="259">
        <v>9791.221252891617</v>
      </c>
      <c r="I89" s="259">
        <v>15.206929954927631</v>
      </c>
      <c r="J89" s="259">
        <v>4.5795783231055607</v>
      </c>
    </row>
    <row r="90" spans="1:10">
      <c r="A90" s="244">
        <v>91</v>
      </c>
      <c r="B90" s="252"/>
      <c r="C90" s="258"/>
      <c r="D90" s="258"/>
      <c r="E90" s="258"/>
      <c r="F90" s="258"/>
      <c r="G90" s="258"/>
      <c r="H90" s="258"/>
      <c r="I90" s="258"/>
      <c r="J90" s="258"/>
    </row>
    <row r="91" spans="1:10">
      <c r="A91" s="244">
        <v>92</v>
      </c>
      <c r="B91" s="248" t="s">
        <v>141</v>
      </c>
      <c r="C91" s="259">
        <v>1</v>
      </c>
      <c r="D91" s="259">
        <v>0.75994063668438427</v>
      </c>
      <c r="E91" s="259">
        <v>0.20250155668775469</v>
      </c>
      <c r="F91" s="259">
        <v>4.0941551559972034E-2</v>
      </c>
      <c r="G91" s="259">
        <v>9.3323423112103843E-3</v>
      </c>
      <c r="H91" s="259">
        <v>-2.3733457434540919E-3</v>
      </c>
      <c r="I91" s="259">
        <v>-9.8306573097868572E-3</v>
      </c>
      <c r="J91" s="259">
        <v>-5.1208419008042752E-4</v>
      </c>
    </row>
    <row r="92" spans="1:10">
      <c r="A92" s="244">
        <v>93</v>
      </c>
      <c r="B92" s="248" t="s">
        <v>127</v>
      </c>
      <c r="C92" s="259">
        <v>4598980.080832839</v>
      </c>
      <c r="D92" s="259">
        <v>3494951.8507269085</v>
      </c>
      <c r="E92" s="259">
        <v>931300.6255446258</v>
      </c>
      <c r="F92" s="259">
        <v>188289.38010270204</v>
      </c>
      <c r="G92" s="259">
        <v>42919.256396770055</v>
      </c>
      <c r="H92" s="259">
        <v>-10914.969799074774</v>
      </c>
      <c r="I92" s="259">
        <v>-45210.997149203497</v>
      </c>
      <c r="J92" s="259">
        <v>-2355.0649898893034</v>
      </c>
    </row>
    <row r="93" spans="1:10">
      <c r="A93" s="244">
        <v>94</v>
      </c>
      <c r="B93" s="248" t="s">
        <v>322</v>
      </c>
      <c r="C93" s="259">
        <v>0.24974979441788134</v>
      </c>
      <c r="D93" s="259">
        <v>0.29347576386649737</v>
      </c>
      <c r="E93" s="259">
        <v>0.44000432043757254</v>
      </c>
      <c r="F93" s="259">
        <v>8.1197002858557299E-2</v>
      </c>
      <c r="G93" s="259">
        <v>4.9950125990177119E-2</v>
      </c>
      <c r="H93" s="259">
        <v>-1.6797429669244034E-2</v>
      </c>
      <c r="I93" s="259">
        <v>-8.629182774975451E-2</v>
      </c>
      <c r="J93" s="259">
        <v>-6.3550437698630946E-2</v>
      </c>
    </row>
    <row r="94" spans="1:10">
      <c r="A94" s="244">
        <v>95</v>
      </c>
      <c r="B94" s="248" t="s">
        <v>128</v>
      </c>
      <c r="C94" s="259">
        <v>1.1408652025481022E-3</v>
      </c>
      <c r="D94" s="259">
        <v>2.2921952551688894E-3</v>
      </c>
      <c r="E94" s="259">
        <v>1.6788082399596196E-3</v>
      </c>
      <c r="F94" s="259">
        <v>1.9804481806984654E-4</v>
      </c>
      <c r="G94" s="259">
        <v>1.0653515720117456E-4</v>
      </c>
      <c r="H94" s="259">
        <v>-2.5939719813213202E-5</v>
      </c>
      <c r="I94" s="259">
        <v>-2.7434557034666492E-4</v>
      </c>
      <c r="J94" s="259">
        <v>-1.8851979873191893E-4</v>
      </c>
    </row>
    <row r="95" spans="1:10">
      <c r="A95" s="244">
        <v>96</v>
      </c>
      <c r="B95" s="248" t="s">
        <v>129</v>
      </c>
      <c r="C95" s="259">
        <v>33.601253927670051</v>
      </c>
      <c r="D95" s="259">
        <v>32.423800337785359</v>
      </c>
      <c r="E95" s="259">
        <v>46.731768930671478</v>
      </c>
      <c r="F95" s="259">
        <v>174.97161039071324</v>
      </c>
      <c r="G95" s="259">
        <v>665.64937661539716</v>
      </c>
      <c r="H95" s="259">
        <v>-10914.969799074774</v>
      </c>
      <c r="I95" s="259">
        <v>-8.8032842471147816</v>
      </c>
      <c r="J95" s="259">
        <v>-0.81953311328939904</v>
      </c>
    </row>
    <row r="96" spans="1:10">
      <c r="A96" s="244">
        <v>97</v>
      </c>
      <c r="B96" s="252"/>
      <c r="C96" s="258"/>
      <c r="D96" s="258"/>
      <c r="E96" s="258"/>
      <c r="F96" s="258"/>
      <c r="G96" s="258"/>
      <c r="H96" s="258"/>
      <c r="I96" s="258"/>
      <c r="J96" s="258"/>
    </row>
    <row r="97" spans="1:10">
      <c r="A97" s="244">
        <v>98</v>
      </c>
      <c r="B97" s="248" t="s">
        <v>323</v>
      </c>
      <c r="C97" s="259">
        <v>1</v>
      </c>
      <c r="D97" s="259">
        <v>0.80528035939370823</v>
      </c>
      <c r="E97" s="259">
        <v>0.13446428433205565</v>
      </c>
      <c r="F97" s="259">
        <v>1.5785533332793658E-2</v>
      </c>
      <c r="G97" s="259">
        <v>6.5384269223490487E-3</v>
      </c>
      <c r="H97" s="259">
        <v>5.9999843644497628E-3</v>
      </c>
      <c r="I97" s="259">
        <v>1.6569577082446687E-2</v>
      </c>
      <c r="J97" s="259">
        <v>1.5361834572196907E-2</v>
      </c>
    </row>
    <row r="98" spans="1:10">
      <c r="A98" s="244">
        <v>99</v>
      </c>
      <c r="B98" s="248" t="s">
        <v>127</v>
      </c>
      <c r="C98" s="259">
        <v>7899690.6042020163</v>
      </c>
      <c r="D98" s="259">
        <v>6361465.6888509002</v>
      </c>
      <c r="E98" s="259">
        <v>1062226.2435386884</v>
      </c>
      <c r="F98" s="259">
        <v>124700.8293513878</v>
      </c>
      <c r="G98" s="259">
        <v>51651.549724742283</v>
      </c>
      <c r="H98" s="259">
        <v>47398.0201092028</v>
      </c>
      <c r="I98" s="259">
        <v>130894.53239380516</v>
      </c>
      <c r="J98" s="259">
        <v>121353.74023328962</v>
      </c>
    </row>
    <row r="99" spans="1:10">
      <c r="A99" s="244">
        <v>100</v>
      </c>
      <c r="B99" s="248" t="s">
        <v>322</v>
      </c>
      <c r="C99" s="259">
        <v>0.42899644479587251</v>
      </c>
      <c r="D99" s="259">
        <v>0.53418075043229318</v>
      </c>
      <c r="E99" s="259">
        <v>0.50186172286297903</v>
      </c>
      <c r="F99" s="259">
        <v>5.3775383358244958E-2</v>
      </c>
      <c r="G99" s="259">
        <v>6.0112910449514147E-2</v>
      </c>
      <c r="H99" s="259">
        <v>7.2942474775627583E-2</v>
      </c>
      <c r="I99" s="259">
        <v>0.24983143825461698</v>
      </c>
      <c r="J99" s="259">
        <v>3.2746796123677298</v>
      </c>
    </row>
    <row r="100" spans="1:10">
      <c r="A100" s="244">
        <v>101</v>
      </c>
      <c r="B100" s="248" t="s">
        <v>128</v>
      </c>
      <c r="C100" s="259">
        <v>1.9596697447748423E-3</v>
      </c>
      <c r="D100" s="259">
        <v>4.1722238504862084E-3</v>
      </c>
      <c r="E100" s="259">
        <v>1.9148211881756686E-3</v>
      </c>
      <c r="F100" s="259">
        <v>1.3116168871863087E-4</v>
      </c>
      <c r="G100" s="259">
        <v>1.2821065488040042E-4</v>
      </c>
      <c r="H100" s="259">
        <v>1.1264267185035964E-4</v>
      </c>
      <c r="I100" s="259">
        <v>7.9428319234651362E-4</v>
      </c>
      <c r="J100" s="259">
        <v>9.7142043987587211E-3</v>
      </c>
    </row>
    <row r="101" spans="1:10">
      <c r="A101" s="244">
        <v>102</v>
      </c>
      <c r="B101" s="248" t="s">
        <v>129</v>
      </c>
      <c r="C101" s="259">
        <v>57.717038403382737</v>
      </c>
      <c r="D101" s="259">
        <v>59.017377680918138</v>
      </c>
      <c r="E101" s="259">
        <v>53.301490414135372</v>
      </c>
      <c r="F101" s="259">
        <v>115.88069872431817</v>
      </c>
      <c r="G101" s="259">
        <v>801.08149026741614</v>
      </c>
      <c r="H101" s="259">
        <v>47398.0201092028</v>
      </c>
      <c r="I101" s="259">
        <v>25.487201073072129</v>
      </c>
      <c r="J101" s="259">
        <v>42.229581336256679</v>
      </c>
    </row>
    <row r="102" spans="1:10">
      <c r="A102" s="244">
        <v>103</v>
      </c>
      <c r="B102" s="252"/>
      <c r="C102" s="258"/>
      <c r="D102" s="258"/>
      <c r="E102" s="258"/>
      <c r="F102" s="258"/>
      <c r="G102" s="258"/>
      <c r="H102" s="258"/>
      <c r="I102" s="258"/>
      <c r="J102" s="258"/>
    </row>
    <row r="103" spans="1:10">
      <c r="A103" s="244">
        <v>104</v>
      </c>
      <c r="B103" s="248" t="s">
        <v>324</v>
      </c>
      <c r="C103" s="259">
        <v>1</v>
      </c>
      <c r="D103" s="259">
        <v>0.4616710207673127</v>
      </c>
      <c r="E103" s="259">
        <v>0.14482011422163249</v>
      </c>
      <c r="F103" s="259">
        <v>0.20005273508948226</v>
      </c>
      <c r="G103" s="259">
        <v>7.9350495253608183E-2</v>
      </c>
      <c r="H103" s="259">
        <v>6.5079492670463757E-2</v>
      </c>
      <c r="I103" s="259">
        <v>4.4337853130467106E-2</v>
      </c>
      <c r="J103" s="259">
        <v>4.68828886703341E-3</v>
      </c>
    </row>
    <row r="104" spans="1:10">
      <c r="A104" s="244">
        <v>105</v>
      </c>
      <c r="B104" s="248" t="s">
        <v>127</v>
      </c>
      <c r="C104" s="259">
        <v>11203530.545557573</v>
      </c>
      <c r="D104" s="259">
        <v>5172345.3831653325</v>
      </c>
      <c r="E104" s="259">
        <v>1622496.5732931963</v>
      </c>
      <c r="F104" s="259">
        <v>2241296.928297352</v>
      </c>
      <c r="G104" s="259">
        <v>889005.69737892051</v>
      </c>
      <c r="H104" s="259">
        <v>729120.08402293094</v>
      </c>
      <c r="I104" s="259">
        <v>496740.49187163368</v>
      </c>
      <c r="J104" s="259">
        <v>52525.387528206316</v>
      </c>
    </row>
    <row r="105" spans="1:10">
      <c r="A105" s="244">
        <v>106</v>
      </c>
      <c r="B105" s="248" t="s">
        <v>322</v>
      </c>
      <c r="C105" s="259">
        <v>0.60841303970178273</v>
      </c>
      <c r="D105" s="259">
        <v>0.43432873388229365</v>
      </c>
      <c r="E105" s="259">
        <v>0.76656826223720198</v>
      </c>
      <c r="F105" s="259">
        <v>0.96652606214206882</v>
      </c>
      <c r="G105" s="259">
        <v>1.0346392346490929</v>
      </c>
      <c r="H105" s="259">
        <v>1.1220684580223621</v>
      </c>
      <c r="I105" s="259">
        <v>0.94810218008364622</v>
      </c>
      <c r="J105" s="259">
        <v>1.4173754788247355</v>
      </c>
    </row>
    <row r="106" spans="1:10">
      <c r="A106" s="244">
        <v>107</v>
      </c>
      <c r="B106" s="248" t="s">
        <v>128</v>
      </c>
      <c r="C106" s="259">
        <v>2.7792505991451745E-3</v>
      </c>
      <c r="D106" s="259">
        <v>3.3923287220453046E-3</v>
      </c>
      <c r="E106" s="259">
        <v>2.9247919971684198E-3</v>
      </c>
      <c r="F106" s="259">
        <v>2.3574204884154542E-3</v>
      </c>
      <c r="G106" s="259">
        <v>2.206710219940592E-3</v>
      </c>
      <c r="H106" s="259">
        <v>1.7327735246087904E-3</v>
      </c>
      <c r="I106" s="259">
        <v>3.0142788735020654E-3</v>
      </c>
      <c r="J106" s="259">
        <v>4.2045869339677683E-3</v>
      </c>
    </row>
    <row r="107" spans="1:10">
      <c r="A107" s="244">
        <v>108</v>
      </c>
      <c r="B107" s="248" t="s">
        <v>129</v>
      </c>
      <c r="C107" s="259">
        <v>81.855687159122297</v>
      </c>
      <c r="D107" s="259">
        <v>47.985523447751525</v>
      </c>
      <c r="E107" s="259">
        <v>81.415316251509054</v>
      </c>
      <c r="F107" s="259">
        <v>2082.7692602420911</v>
      </c>
      <c r="G107" s="259">
        <v>13787.892380920863</v>
      </c>
      <c r="H107" s="259">
        <v>729120.08402293094</v>
      </c>
      <c r="I107" s="259">
        <v>96.723098863893142</v>
      </c>
      <c r="J107" s="259">
        <v>18.278176845449359</v>
      </c>
    </row>
  </sheetData>
  <mergeCells count="4">
    <mergeCell ref="B3:J3"/>
    <mergeCell ref="B4:J4"/>
    <mergeCell ref="B5:J5"/>
    <mergeCell ref="B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07"/>
  <sheetViews>
    <sheetView zoomScale="85" zoomScaleNormal="85" workbookViewId="0">
      <pane xSplit="2" ySplit="10" topLeftCell="C11" activePane="bottomRight" state="frozen"/>
      <selection activeCell="J20" sqref="J20"/>
      <selection pane="topRight" activeCell="J20" sqref="J20"/>
      <selection pane="bottomLeft" activeCell="J20" sqref="J20"/>
      <selection pane="bottomRight" activeCell="A11" sqref="A11:J107"/>
    </sheetView>
  </sheetViews>
  <sheetFormatPr defaultRowHeight="14.4"/>
  <cols>
    <col min="2" max="2" width="40" bestFit="1" customWidth="1"/>
    <col min="3" max="4" width="14" bestFit="1" customWidth="1"/>
    <col min="5" max="5" width="14.33203125" bestFit="1" customWidth="1"/>
    <col min="6" max="7" width="17.88671875" bestFit="1" customWidth="1"/>
    <col min="8" max="8" width="19.109375" bestFit="1" customWidth="1"/>
    <col min="9" max="9" width="12.6640625" bestFit="1" customWidth="1"/>
    <col min="10" max="10" width="15.44140625" bestFit="1" customWidth="1"/>
  </cols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1" t="s">
        <v>233</v>
      </c>
      <c r="C2" s="30"/>
      <c r="D2" s="30"/>
      <c r="E2" s="30"/>
      <c r="F2" s="30"/>
      <c r="G2" s="30"/>
      <c r="H2" s="30"/>
      <c r="I2" s="30"/>
      <c r="J2" s="30"/>
    </row>
    <row r="3" spans="1:10">
      <c r="A3" s="32"/>
      <c r="B3" s="261" t="s">
        <v>101</v>
      </c>
      <c r="C3" s="261"/>
      <c r="D3" s="261"/>
      <c r="E3" s="261"/>
      <c r="F3" s="261"/>
      <c r="G3" s="261"/>
      <c r="H3" s="261"/>
      <c r="I3" s="261"/>
      <c r="J3" s="261"/>
    </row>
    <row r="4" spans="1:10">
      <c r="A4" s="33"/>
      <c r="B4" s="261" t="s">
        <v>102</v>
      </c>
      <c r="C4" s="261"/>
      <c r="D4" s="261"/>
      <c r="E4" s="261"/>
      <c r="F4" s="261"/>
      <c r="G4" s="261"/>
      <c r="H4" s="261"/>
      <c r="I4" s="261"/>
      <c r="J4" s="261"/>
    </row>
    <row r="5" spans="1:10">
      <c r="A5" s="33"/>
      <c r="B5" s="261" t="s">
        <v>1</v>
      </c>
      <c r="C5" s="261"/>
      <c r="D5" s="261"/>
      <c r="E5" s="261"/>
      <c r="F5" s="261"/>
      <c r="G5" s="261"/>
      <c r="H5" s="261"/>
      <c r="I5" s="261"/>
      <c r="J5" s="261"/>
    </row>
    <row r="6" spans="1:10">
      <c r="A6" s="33"/>
      <c r="B6" s="261" t="s">
        <v>325</v>
      </c>
      <c r="C6" s="261"/>
      <c r="D6" s="261"/>
      <c r="E6" s="261"/>
      <c r="F6" s="261"/>
      <c r="G6" s="261"/>
      <c r="H6" s="261"/>
      <c r="I6" s="261"/>
      <c r="J6" s="261"/>
    </row>
    <row r="7" spans="1:10">
      <c r="A7" s="34"/>
      <c r="B7" s="33"/>
      <c r="C7" s="33"/>
      <c r="D7" s="33"/>
      <c r="E7" s="33"/>
      <c r="F7" s="33"/>
      <c r="G7" s="33"/>
      <c r="H7" s="33"/>
      <c r="I7" s="33"/>
      <c r="J7" s="33"/>
    </row>
    <row r="8" spans="1:10">
      <c r="A8" s="233"/>
      <c r="B8" s="234"/>
      <c r="C8" s="235" t="s">
        <v>104</v>
      </c>
      <c r="D8" s="236"/>
      <c r="E8" s="237" t="s">
        <v>105</v>
      </c>
      <c r="F8" s="237" t="s">
        <v>106</v>
      </c>
      <c r="G8" s="237" t="s">
        <v>106</v>
      </c>
      <c r="H8" s="237" t="s">
        <v>106</v>
      </c>
      <c r="I8" s="235" t="s">
        <v>107</v>
      </c>
      <c r="J8" s="237" t="s">
        <v>108</v>
      </c>
    </row>
    <row r="9" spans="1:10">
      <c r="A9" s="233"/>
      <c r="B9" s="238" t="s">
        <v>4</v>
      </c>
      <c r="C9" s="235" t="s">
        <v>109</v>
      </c>
      <c r="D9" s="237" t="s">
        <v>110</v>
      </c>
      <c r="E9" s="237" t="s">
        <v>111</v>
      </c>
      <c r="F9" s="237" t="s">
        <v>112</v>
      </c>
      <c r="G9" s="237" t="s">
        <v>113</v>
      </c>
      <c r="H9" s="237" t="s">
        <v>114</v>
      </c>
      <c r="I9" s="237" t="s">
        <v>115</v>
      </c>
      <c r="J9" s="237" t="s">
        <v>116</v>
      </c>
    </row>
    <row r="10" spans="1:10" ht="15" thickBot="1">
      <c r="A10" s="233"/>
      <c r="B10" s="239"/>
      <c r="C10" s="240" t="s">
        <v>117</v>
      </c>
      <c r="D10" s="241" t="s">
        <v>118</v>
      </c>
      <c r="E10" s="241" t="s">
        <v>119</v>
      </c>
      <c r="F10" s="241" t="s">
        <v>120</v>
      </c>
      <c r="G10" s="241" t="s">
        <v>121</v>
      </c>
      <c r="H10" s="241" t="s">
        <v>121</v>
      </c>
      <c r="I10" s="241" t="s">
        <v>122</v>
      </c>
      <c r="J10" s="241" t="s">
        <v>123</v>
      </c>
    </row>
    <row r="11" spans="1:10">
      <c r="A11" s="233"/>
      <c r="B11" s="242"/>
      <c r="C11" s="243"/>
      <c r="D11" s="243"/>
      <c r="E11" s="243"/>
      <c r="F11" s="243"/>
      <c r="G11" s="243"/>
      <c r="H11" s="243"/>
      <c r="I11" s="243"/>
      <c r="J11" s="243"/>
    </row>
    <row r="12" spans="1:10">
      <c r="A12" s="244">
        <v>14</v>
      </c>
      <c r="B12" s="245" t="s">
        <v>124</v>
      </c>
      <c r="C12" s="246"/>
      <c r="D12" s="247"/>
      <c r="E12" s="247"/>
      <c r="F12" s="247"/>
      <c r="G12" s="247"/>
      <c r="H12" s="247"/>
      <c r="I12" s="247"/>
      <c r="J12" s="247"/>
    </row>
    <row r="13" spans="1:10">
      <c r="A13" s="244">
        <v>15</v>
      </c>
      <c r="B13" s="248" t="s">
        <v>320</v>
      </c>
      <c r="C13" s="247">
        <v>18414349.815791342</v>
      </c>
      <c r="D13" s="247">
        <v>11908826.148644997</v>
      </c>
      <c r="E13" s="247">
        <v>2116571.5477940585</v>
      </c>
      <c r="F13" s="247">
        <v>2318920.3230899591</v>
      </c>
      <c r="G13" s="247">
        <v>859242.20501886797</v>
      </c>
      <c r="H13" s="247">
        <v>649800</v>
      </c>
      <c r="I13" s="247">
        <v>523931.38873260352</v>
      </c>
      <c r="J13" s="247">
        <v>37058.202510854433</v>
      </c>
    </row>
    <row r="14" spans="1:10">
      <c r="A14" s="244">
        <v>16</v>
      </c>
      <c r="B14" s="248" t="s">
        <v>125</v>
      </c>
      <c r="C14" s="247">
        <v>4031133626.0945625</v>
      </c>
      <c r="D14" s="247">
        <v>1524718211.8738832</v>
      </c>
      <c r="E14" s="247">
        <v>554739131.83022404</v>
      </c>
      <c r="F14" s="247">
        <v>950741261.18410254</v>
      </c>
      <c r="G14" s="247">
        <v>402864721.13354957</v>
      </c>
      <c r="H14" s="247">
        <v>420782100.87353736</v>
      </c>
      <c r="I14" s="247">
        <v>164795797.84020051</v>
      </c>
      <c r="J14" s="247">
        <v>12492401.359065101</v>
      </c>
    </row>
    <row r="15" spans="1:10">
      <c r="A15" s="244">
        <v>17</v>
      </c>
      <c r="B15" s="248" t="s">
        <v>126</v>
      </c>
      <c r="C15" s="247">
        <v>136869.29930450179</v>
      </c>
      <c r="D15" s="247">
        <v>107789.70430107281</v>
      </c>
      <c r="E15" s="247">
        <v>19928.640555555452</v>
      </c>
      <c r="F15" s="247">
        <v>1076.1138888888895</v>
      </c>
      <c r="G15" s="247">
        <v>64.477272727272748</v>
      </c>
      <c r="H15" s="247">
        <v>1</v>
      </c>
      <c r="I15" s="247">
        <v>5135.6966195907062</v>
      </c>
      <c r="J15" s="247">
        <v>2873.666666666667</v>
      </c>
    </row>
    <row r="16" spans="1:10">
      <c r="A16" s="244">
        <v>18</v>
      </c>
      <c r="B16" s="248" t="s">
        <v>142</v>
      </c>
      <c r="C16" s="247">
        <v>0.29988030600614918</v>
      </c>
      <c r="D16" s="247">
        <v>0.17538715056281129</v>
      </c>
      <c r="E16" s="247">
        <v>0.35903185967774898</v>
      </c>
      <c r="F16" s="247">
        <v>0.56163434177758376</v>
      </c>
      <c r="G16" s="247">
        <v>0.64227464361197661</v>
      </c>
      <c r="H16" s="247">
        <v>0.88706346077726206</v>
      </c>
      <c r="I16" s="247">
        <v>0.43087257822123176</v>
      </c>
      <c r="J16" s="247">
        <v>0.46178382691522557</v>
      </c>
    </row>
    <row r="17" spans="1:10">
      <c r="A17" s="244"/>
      <c r="B17" s="248" t="s">
        <v>234</v>
      </c>
      <c r="C17" s="247"/>
      <c r="D17" s="247">
        <v>0.63435645246722761</v>
      </c>
      <c r="E17" s="247">
        <v>0.73382702299246771</v>
      </c>
      <c r="F17" s="247"/>
      <c r="G17" s="247">
        <v>5.2261177778157277</v>
      </c>
      <c r="H17" s="247">
        <v>0.9463246400052967</v>
      </c>
      <c r="I17" s="247">
        <v>1.0232693316282082</v>
      </c>
      <c r="J17" s="247">
        <v>0.99187417812073064</v>
      </c>
    </row>
    <row r="18" spans="1:10">
      <c r="A18" s="244">
        <v>19</v>
      </c>
      <c r="B18" s="249"/>
      <c r="C18" s="250"/>
      <c r="D18" s="250"/>
      <c r="E18" s="250"/>
      <c r="F18" s="250"/>
      <c r="G18" s="250"/>
      <c r="H18" s="250"/>
      <c r="I18" s="251"/>
      <c r="J18" s="250"/>
    </row>
    <row r="19" spans="1:10">
      <c r="A19" s="244">
        <v>20</v>
      </c>
      <c r="B19" s="252" t="s">
        <v>321</v>
      </c>
      <c r="C19" s="253">
        <v>1</v>
      </c>
      <c r="D19" s="253">
        <v>0.4490049272168688</v>
      </c>
      <c r="E19" s="253">
        <v>0.13755892880396955</v>
      </c>
      <c r="F19" s="253">
        <v>0.20983126494758633</v>
      </c>
      <c r="G19" s="253">
        <v>8.516685717120287E-2</v>
      </c>
      <c r="H19" s="253">
        <v>7.5914614137832515E-2</v>
      </c>
      <c r="I19" s="253">
        <v>4.0599267261570794E-2</v>
      </c>
      <c r="J19" s="253">
        <v>1.9241404609637977E-3</v>
      </c>
    </row>
    <row r="20" spans="1:10">
      <c r="A20" s="244">
        <v>21</v>
      </c>
      <c r="B20" s="248" t="s">
        <v>127</v>
      </c>
      <c r="C20" s="247">
        <v>377385072.06572908</v>
      </c>
      <c r="D20" s="247">
        <v>169447756.81560636</v>
      </c>
      <c r="E20" s="247">
        <v>51912686.259970799</v>
      </c>
      <c r="F20" s="247">
        <v>79187187.043888345</v>
      </c>
      <c r="G20" s="247">
        <v>32140700.531166203</v>
      </c>
      <c r="H20" s="247">
        <v>28649042.127248067</v>
      </c>
      <c r="I20" s="247">
        <v>15321557.401323767</v>
      </c>
      <c r="J20" s="247">
        <v>726141.88652541174</v>
      </c>
    </row>
    <row r="21" spans="1:10">
      <c r="A21" s="244">
        <v>22</v>
      </c>
      <c r="B21" s="248" t="s">
        <v>322</v>
      </c>
      <c r="C21" s="254">
        <v>20.494075318483421</v>
      </c>
      <c r="D21" s="254">
        <v>14.228753925917909</v>
      </c>
      <c r="E21" s="254">
        <v>24.526780733717906</v>
      </c>
      <c r="F21" s="254">
        <v>34.148300075429717</v>
      </c>
      <c r="G21" s="254">
        <v>37.405868035148984</v>
      </c>
      <c r="H21" s="254">
        <v>44.089015277390068</v>
      </c>
      <c r="I21" s="254">
        <v>29.243442425518356</v>
      </c>
      <c r="J21" s="254">
        <v>19.594633234375657</v>
      </c>
    </row>
    <row r="22" spans="1:10">
      <c r="A22" s="244">
        <v>23</v>
      </c>
      <c r="B22" s="248" t="s">
        <v>128</v>
      </c>
      <c r="C22" s="255">
        <v>9.3617604145597819E-2</v>
      </c>
      <c r="D22" s="255">
        <v>0.11113381836461084</v>
      </c>
      <c r="E22" s="255">
        <v>9.3580357471263614E-2</v>
      </c>
      <c r="F22" s="255">
        <v>8.3289944674605279E-2</v>
      </c>
      <c r="G22" s="255">
        <v>7.9780379976512189E-2</v>
      </c>
      <c r="H22" s="255">
        <v>6.8085220516207995E-2</v>
      </c>
      <c r="I22" s="255">
        <v>9.2972985974926398E-2</v>
      </c>
      <c r="J22" s="255">
        <v>5.8126685627058201E-2</v>
      </c>
    </row>
    <row r="23" spans="1:10">
      <c r="A23" s="244">
        <v>24</v>
      </c>
      <c r="B23" s="248" t="s">
        <v>129</v>
      </c>
      <c r="C23" s="254">
        <v>2757.2660485835954</v>
      </c>
      <c r="D23" s="254">
        <v>1572.0217242855899</v>
      </c>
      <c r="E23" s="254">
        <v>2604.9286259769106</v>
      </c>
      <c r="F23" s="254">
        <v>73586.251289490188</v>
      </c>
      <c r="G23" s="254">
        <v>498481.07979249646</v>
      </c>
      <c r="H23" s="254">
        <v>28649042.127248067</v>
      </c>
      <c r="I23" s="254">
        <v>2983.3455003704703</v>
      </c>
      <c r="J23" s="254">
        <v>252.68827973277288</v>
      </c>
    </row>
    <row r="24" spans="1:10">
      <c r="A24" s="244">
        <v>25</v>
      </c>
      <c r="B24" s="248"/>
      <c r="C24" s="254"/>
      <c r="D24" s="254"/>
      <c r="E24" s="254"/>
      <c r="F24" s="254"/>
      <c r="G24" s="254"/>
      <c r="H24" s="254"/>
      <c r="I24" s="254"/>
      <c r="J24" s="254"/>
    </row>
    <row r="25" spans="1:10">
      <c r="A25" s="244">
        <v>26</v>
      </c>
      <c r="B25" s="252" t="s">
        <v>130</v>
      </c>
      <c r="C25" s="253">
        <v>1</v>
      </c>
      <c r="D25" s="253">
        <v>0.41747187510998901</v>
      </c>
      <c r="E25" s="253">
        <v>0.13387681758485681</v>
      </c>
      <c r="F25" s="253">
        <v>0.22673696469352195</v>
      </c>
      <c r="G25" s="253">
        <v>9.2562613541408531E-2</v>
      </c>
      <c r="H25" s="253">
        <v>8.7790584440995426E-2</v>
      </c>
      <c r="I25" s="253">
        <v>3.9860884409453533E-2</v>
      </c>
      <c r="J25" s="253">
        <v>1.7002602197709791E-3</v>
      </c>
    </row>
    <row r="26" spans="1:10">
      <c r="A26" s="244">
        <v>27</v>
      </c>
      <c r="B26" s="248" t="s">
        <v>127</v>
      </c>
      <c r="C26" s="247">
        <v>261308216.2165041</v>
      </c>
      <c r="D26" s="247">
        <v>109088831.00555103</v>
      </c>
      <c r="E26" s="247">
        <v>34983112.395841435</v>
      </c>
      <c r="F26" s="247">
        <v>59248231.794409007</v>
      </c>
      <c r="G26" s="247">
        <v>24187371.432843219</v>
      </c>
      <c r="H26" s="247">
        <v>22940401.020881016</v>
      </c>
      <c r="I26" s="247">
        <v>10415976.601846617</v>
      </c>
      <c r="J26" s="247">
        <v>444291.96513223811</v>
      </c>
    </row>
    <row r="27" spans="1:10">
      <c r="A27" s="244">
        <v>28</v>
      </c>
      <c r="B27" s="248" t="s">
        <v>322</v>
      </c>
      <c r="C27" s="254">
        <v>14.190466610578754</v>
      </c>
      <c r="D27" s="254">
        <v>9.1603344984562813</v>
      </c>
      <c r="E27" s="254">
        <v>16.5281974201636</v>
      </c>
      <c r="F27" s="254">
        <v>25.549921316598233</v>
      </c>
      <c r="G27" s="254">
        <v>28.149654767379698</v>
      </c>
      <c r="H27" s="254">
        <v>35.303787351309659</v>
      </c>
      <c r="I27" s="254">
        <v>19.88042103574476</v>
      </c>
      <c r="J27" s="254">
        <v>11.989031713076315</v>
      </c>
    </row>
    <row r="28" spans="1:10">
      <c r="A28" s="244">
        <v>29</v>
      </c>
      <c r="B28" s="248" t="s">
        <v>128</v>
      </c>
      <c r="C28" s="255">
        <v>6.4822514075194376E-2</v>
      </c>
      <c r="D28" s="255">
        <v>7.1546880043808575E-2</v>
      </c>
      <c r="E28" s="255">
        <v>6.306227628186846E-2</v>
      </c>
      <c r="F28" s="255">
        <v>6.2317934661443204E-2</v>
      </c>
      <c r="G28" s="255">
        <v>6.0038445076021213E-2</v>
      </c>
      <c r="H28" s="255">
        <v>5.4518481117084322E-2</v>
      </c>
      <c r="I28" s="255">
        <v>6.3205353160441624E-2</v>
      </c>
      <c r="J28" s="255">
        <v>3.5564976849694153E-2</v>
      </c>
    </row>
    <row r="29" spans="1:10">
      <c r="A29" s="244">
        <v>30</v>
      </c>
      <c r="B29" s="248" t="s">
        <v>129</v>
      </c>
      <c r="C29" s="254">
        <v>1909.1806383486714</v>
      </c>
      <c r="D29" s="254">
        <v>1012.0524192259546</v>
      </c>
      <c r="E29" s="254">
        <v>1755.418905685932</v>
      </c>
      <c r="F29" s="254">
        <v>55057.584895204789</v>
      </c>
      <c r="G29" s="254">
        <v>375130.18789041287</v>
      </c>
      <c r="H29" s="254">
        <v>22940401.020881016</v>
      </c>
      <c r="I29" s="254">
        <v>2028.1526292097697</v>
      </c>
      <c r="J29" s="254">
        <v>154.60803797665167</v>
      </c>
    </row>
    <row r="30" spans="1:10">
      <c r="A30" s="244">
        <v>31</v>
      </c>
      <c r="B30" s="256"/>
      <c r="C30" s="257"/>
      <c r="D30" s="257"/>
      <c r="E30" s="257"/>
      <c r="F30" s="257"/>
      <c r="G30" s="257"/>
      <c r="H30" s="257"/>
      <c r="I30" s="257"/>
      <c r="J30" s="257"/>
    </row>
    <row r="31" spans="1:10">
      <c r="A31" s="244">
        <v>32</v>
      </c>
      <c r="B31" s="252" t="s">
        <v>131</v>
      </c>
      <c r="C31" s="253">
        <v>1</v>
      </c>
      <c r="D31" s="253">
        <v>0.44868468824698032</v>
      </c>
      <c r="E31" s="253">
        <v>0.13046096126272316</v>
      </c>
      <c r="F31" s="253">
        <v>0.21879333430651421</v>
      </c>
      <c r="G31" s="253">
        <v>8.663823469868244E-2</v>
      </c>
      <c r="H31" s="253">
        <v>7.5957427123682406E-2</v>
      </c>
      <c r="I31" s="253">
        <v>3.8924221117107423E-2</v>
      </c>
      <c r="J31" s="253">
        <v>5.4113324431318455E-4</v>
      </c>
    </row>
    <row r="32" spans="1:10">
      <c r="A32" s="244">
        <v>33</v>
      </c>
      <c r="B32" s="248" t="s">
        <v>127</v>
      </c>
      <c r="C32" s="247">
        <v>89705968.068988398</v>
      </c>
      <c r="D32" s="247">
        <v>40249694.31692747</v>
      </c>
      <c r="E32" s="247">
        <v>11703126.825283326</v>
      </c>
      <c r="F32" s="247">
        <v>19627067.861007579</v>
      </c>
      <c r="G32" s="247">
        <v>7771966.7154334951</v>
      </c>
      <c r="H32" s="247">
        <v>6813834.5321595352</v>
      </c>
      <c r="I32" s="247">
        <v>3491734.9366414677</v>
      </c>
      <c r="J32" s="247">
        <v>48542.881535426175</v>
      </c>
    </row>
    <row r="33" spans="1:10">
      <c r="A33" s="244">
        <v>34</v>
      </c>
      <c r="B33" s="248" t="s">
        <v>322</v>
      </c>
      <c r="C33" s="254">
        <v>4.8715251402501583</v>
      </c>
      <c r="D33" s="254">
        <v>3.3798204637916505</v>
      </c>
      <c r="E33" s="254">
        <v>5.5292847706852175</v>
      </c>
      <c r="F33" s="254">
        <v>8.4638819478085949</v>
      </c>
      <c r="G33" s="254">
        <v>9.045140788053855</v>
      </c>
      <c r="H33" s="254">
        <v>10.486048833732742</v>
      </c>
      <c r="I33" s="254">
        <v>6.6644889230401283</v>
      </c>
      <c r="J33" s="254">
        <v>1.3099092305194202</v>
      </c>
    </row>
    <row r="34" spans="1:10">
      <c r="A34" s="244">
        <v>35</v>
      </c>
      <c r="B34" s="248" t="s">
        <v>128</v>
      </c>
      <c r="C34" s="255">
        <v>2.2253285648557677E-2</v>
      </c>
      <c r="D34" s="255">
        <v>2.6398119995864989E-2</v>
      </c>
      <c r="E34" s="255">
        <v>2.1096631107799742E-2</v>
      </c>
      <c r="F34" s="255">
        <v>2.0643963465478515E-2</v>
      </c>
      <c r="G34" s="255">
        <v>1.9291753056870645E-2</v>
      </c>
      <c r="H34" s="255">
        <v>1.6193261353118674E-2</v>
      </c>
      <c r="I34" s="255">
        <v>2.1188252263733932E-2</v>
      </c>
      <c r="J34" s="255">
        <v>3.8857926622891501E-3</v>
      </c>
    </row>
    <row r="35" spans="1:10">
      <c r="A35" s="244">
        <v>36</v>
      </c>
      <c r="B35" s="248" t="s">
        <v>129</v>
      </c>
      <c r="C35" s="254">
        <v>655.41336534070979</v>
      </c>
      <c r="D35" s="254">
        <v>373.40945109659117</v>
      </c>
      <c r="E35" s="254">
        <v>587.25163879885815</v>
      </c>
      <c r="F35" s="254">
        <v>18238.838903262316</v>
      </c>
      <c r="G35" s="254">
        <v>120538.08088793574</v>
      </c>
      <c r="H35" s="254">
        <v>6813834.5321595352</v>
      </c>
      <c r="I35" s="254">
        <v>679.89509413812391</v>
      </c>
      <c r="J35" s="254">
        <v>16.89231465100087</v>
      </c>
    </row>
    <row r="36" spans="1:10">
      <c r="A36" s="244">
        <v>37</v>
      </c>
      <c r="B36" s="248"/>
      <c r="C36" s="247"/>
      <c r="D36" s="247"/>
      <c r="E36" s="247"/>
      <c r="F36" s="247"/>
      <c r="G36" s="247"/>
      <c r="H36" s="247"/>
      <c r="I36" s="247"/>
      <c r="J36" s="247"/>
    </row>
    <row r="37" spans="1:10">
      <c r="A37" s="244">
        <v>38</v>
      </c>
      <c r="B37" s="252" t="s">
        <v>132</v>
      </c>
      <c r="C37" s="253">
        <v>1</v>
      </c>
      <c r="D37" s="253">
        <v>0.40115521464174941</v>
      </c>
      <c r="E37" s="253">
        <v>0.13566247425002098</v>
      </c>
      <c r="F37" s="253">
        <v>0.23088953880919738</v>
      </c>
      <c r="G37" s="253">
        <v>9.5659613406104071E-2</v>
      </c>
      <c r="H37" s="253">
        <v>9.397642899677193E-2</v>
      </c>
      <c r="I37" s="253">
        <v>4.0350530019005328E-2</v>
      </c>
      <c r="J37" s="253">
        <v>2.3061998771520204E-3</v>
      </c>
    </row>
    <row r="38" spans="1:10">
      <c r="A38" s="244">
        <v>39</v>
      </c>
      <c r="B38" s="248" t="s">
        <v>127</v>
      </c>
      <c r="C38" s="247">
        <v>171602248.14751601</v>
      </c>
      <c r="D38" s="247">
        <v>68839136.688623399</v>
      </c>
      <c r="E38" s="247">
        <v>23279985.57055806</v>
      </c>
      <c r="F38" s="247">
        <v>39621163.933401354</v>
      </c>
      <c r="G38" s="247">
        <v>16415404.717409696</v>
      </c>
      <c r="H38" s="247">
        <v>16126566.488721451</v>
      </c>
      <c r="I38" s="247">
        <v>6924241.665205135</v>
      </c>
      <c r="J38" s="247">
        <v>395749.08359681146</v>
      </c>
    </row>
    <row r="39" spans="1:10">
      <c r="A39" s="244">
        <v>40</v>
      </c>
      <c r="B39" s="248" t="s">
        <v>322</v>
      </c>
      <c r="C39" s="254">
        <v>9.318941470328614</v>
      </c>
      <c r="D39" s="254">
        <v>5.780514034664618</v>
      </c>
      <c r="E39" s="254">
        <v>10.99891264947836</v>
      </c>
      <c r="F39" s="254">
        <v>17.086039368789606</v>
      </c>
      <c r="G39" s="254">
        <v>19.104513979325809</v>
      </c>
      <c r="H39" s="254">
        <v>24.817738517576871</v>
      </c>
      <c r="I39" s="254">
        <v>13.215932112704605</v>
      </c>
      <c r="J39" s="254">
        <v>10.679122482556881</v>
      </c>
    </row>
    <row r="40" spans="1:10">
      <c r="A40" s="244">
        <v>41</v>
      </c>
      <c r="B40" s="248" t="s">
        <v>128</v>
      </c>
      <c r="C40" s="255">
        <v>4.2569228426636768E-2</v>
      </c>
      <c r="D40" s="255">
        <v>4.5148760047943479E-2</v>
      </c>
      <c r="E40" s="255">
        <v>4.1965645174068623E-2</v>
      </c>
      <c r="F40" s="255">
        <v>4.167397119596461E-2</v>
      </c>
      <c r="G40" s="255">
        <v>4.0746692019150502E-2</v>
      </c>
      <c r="H40" s="255">
        <v>3.8325219763965579E-2</v>
      </c>
      <c r="I40" s="255">
        <v>4.2017100896707613E-2</v>
      </c>
      <c r="J40" s="255">
        <v>3.1679184187404966E-2</v>
      </c>
    </row>
    <row r="41" spans="1:10">
      <c r="A41" s="244">
        <v>42</v>
      </c>
      <c r="B41" s="248" t="s">
        <v>129</v>
      </c>
      <c r="C41" s="254">
        <v>1253.7672730079639</v>
      </c>
      <c r="D41" s="254">
        <v>638.64296812936198</v>
      </c>
      <c r="E41" s="254">
        <v>1168.1672668870713</v>
      </c>
      <c r="F41" s="254">
        <v>36818.745991942407</v>
      </c>
      <c r="G41" s="254">
        <v>254592.1070024767</v>
      </c>
      <c r="H41" s="254">
        <v>16126566.488721451</v>
      </c>
      <c r="I41" s="254">
        <v>1348.2575350716429</v>
      </c>
      <c r="J41" s="254">
        <v>137.71572332565066</v>
      </c>
    </row>
    <row r="42" spans="1:10">
      <c r="A42" s="244">
        <v>43</v>
      </c>
      <c r="B42" s="248"/>
      <c r="C42" s="247"/>
      <c r="D42" s="247"/>
      <c r="E42" s="247"/>
      <c r="F42" s="247"/>
      <c r="G42" s="247"/>
      <c r="H42" s="247"/>
      <c r="I42" s="247"/>
      <c r="J42" s="247"/>
    </row>
    <row r="43" spans="1:10">
      <c r="A43" s="244">
        <v>44</v>
      </c>
      <c r="B43" s="252" t="s">
        <v>133</v>
      </c>
      <c r="C43" s="253">
        <v>1</v>
      </c>
      <c r="D43" s="253">
        <v>0.44557155715148439</v>
      </c>
      <c r="E43" s="253">
        <v>0.13269729617568241</v>
      </c>
      <c r="F43" s="253">
        <v>0.21291518690208136</v>
      </c>
      <c r="G43" s="253">
        <v>8.6219395055820047E-2</v>
      </c>
      <c r="H43" s="253">
        <v>8.4609244386515528E-2</v>
      </c>
      <c r="I43" s="253">
        <v>3.6862611822639828E-2</v>
      </c>
      <c r="J43" s="253">
        <v>1.1247085057789713E-3</v>
      </c>
    </row>
    <row r="44" spans="1:10">
      <c r="A44" s="244">
        <v>45</v>
      </c>
      <c r="B44" s="248" t="s">
        <v>127</v>
      </c>
      <c r="C44" s="247">
        <v>50370442.041594155</v>
      </c>
      <c r="D44" s="247">
        <v>22443636.294881437</v>
      </c>
      <c r="E44" s="247">
        <v>6684021.4660933856</v>
      </c>
      <c r="F44" s="247">
        <v>10724632.081626352</v>
      </c>
      <c r="G44" s="247">
        <v>4342909.04152044</v>
      </c>
      <c r="H44" s="247">
        <v>4261805.0405540057</v>
      </c>
      <c r="I44" s="247">
        <v>1856786.0523140407</v>
      </c>
      <c r="J44" s="247">
        <v>56652.064604026957</v>
      </c>
    </row>
    <row r="45" spans="1:10">
      <c r="A45" s="244">
        <v>46</v>
      </c>
      <c r="B45" s="248" t="s">
        <v>322</v>
      </c>
      <c r="C45" s="254">
        <v>2.7353907439294254</v>
      </c>
      <c r="D45" s="254">
        <v>1.8846220454259555</v>
      </c>
      <c r="E45" s="254">
        <v>3.1579473290471247</v>
      </c>
      <c r="F45" s="254">
        <v>4.6248385400908427</v>
      </c>
      <c r="G45" s="254">
        <v>5.054347908137351</v>
      </c>
      <c r="H45" s="254">
        <v>6.5586411827547026</v>
      </c>
      <c r="I45" s="254">
        <v>3.5439488685830201</v>
      </c>
      <c r="J45" s="254">
        <v>1.5287321231361244</v>
      </c>
    </row>
    <row r="46" spans="1:10">
      <c r="A46" s="244">
        <v>47</v>
      </c>
      <c r="B46" s="248" t="s">
        <v>128</v>
      </c>
      <c r="C46" s="255">
        <v>1.2495354089860321E-2</v>
      </c>
      <c r="D46" s="255">
        <v>1.4719858476208623E-2</v>
      </c>
      <c r="E46" s="255">
        <v>1.2048945319651628E-2</v>
      </c>
      <c r="F46" s="255">
        <v>1.1280284678367001E-2</v>
      </c>
      <c r="G46" s="255">
        <v>1.0780067883086657E-2</v>
      </c>
      <c r="H46" s="255">
        <v>1.0128294506126952E-2</v>
      </c>
      <c r="I46" s="255">
        <v>1.1267192954243483E-2</v>
      </c>
      <c r="J46" s="255">
        <v>4.5349219077817603E-3</v>
      </c>
    </row>
    <row r="47" spans="1:10">
      <c r="A47" s="244">
        <v>48</v>
      </c>
      <c r="B47" s="248" t="s">
        <v>129</v>
      </c>
      <c r="C47" s="254">
        <v>368.01855710192427</v>
      </c>
      <c r="D47" s="254">
        <v>208.21688342509034</v>
      </c>
      <c r="E47" s="254">
        <v>335.39776320718971</v>
      </c>
      <c r="F47" s="254">
        <v>9966.0753312084489</v>
      </c>
      <c r="G47" s="254">
        <v>67355.656618575711</v>
      </c>
      <c r="H47" s="254">
        <v>4261805.0405540057</v>
      </c>
      <c r="I47" s="254">
        <v>361.54512033111854</v>
      </c>
      <c r="J47" s="254">
        <v>19.714208770685634</v>
      </c>
    </row>
    <row r="48" spans="1:10">
      <c r="A48" s="244">
        <v>49</v>
      </c>
      <c r="B48" s="248"/>
      <c r="C48" s="247"/>
      <c r="D48" s="247"/>
      <c r="E48" s="247"/>
      <c r="F48" s="247"/>
      <c r="G48" s="247"/>
      <c r="H48" s="247"/>
      <c r="I48" s="247"/>
      <c r="J48" s="247"/>
    </row>
    <row r="49" spans="1:10">
      <c r="A49" s="244">
        <v>50</v>
      </c>
      <c r="B49" s="252" t="s">
        <v>134</v>
      </c>
      <c r="C49" s="253">
        <v>1</v>
      </c>
      <c r="D49" s="253">
        <v>0.44557155714047297</v>
      </c>
      <c r="E49" s="253">
        <v>0.1326972961751024</v>
      </c>
      <c r="F49" s="253">
        <v>0.21291518690870465</v>
      </c>
      <c r="G49" s="253">
        <v>8.6219395058601517E-2</v>
      </c>
      <c r="H49" s="253">
        <v>8.4609244389466903E-2</v>
      </c>
      <c r="I49" s="253">
        <v>3.6862611822495624E-2</v>
      </c>
      <c r="J49" s="253">
        <v>1.1247085051465501E-3</v>
      </c>
    </row>
    <row r="50" spans="1:10">
      <c r="A50" s="244">
        <v>51</v>
      </c>
      <c r="B50" s="248" t="s">
        <v>127</v>
      </c>
      <c r="C50" s="247">
        <v>50370441.213693723</v>
      </c>
      <c r="D50" s="247">
        <v>22443635.925438393</v>
      </c>
      <c r="E50" s="247">
        <v>6684021.3562041689</v>
      </c>
      <c r="F50" s="247">
        <v>10724631.905687625</v>
      </c>
      <c r="G50" s="247">
        <v>4342908.9702795688</v>
      </c>
      <c r="H50" s="247">
        <v>4261804.9706547316</v>
      </c>
      <c r="I50" s="247">
        <v>1856786.0217882455</v>
      </c>
      <c r="J50" s="247">
        <v>56652.063641026223</v>
      </c>
    </row>
    <row r="51" spans="1:10">
      <c r="A51" s="244">
        <v>52</v>
      </c>
      <c r="B51" s="248" t="s">
        <v>322</v>
      </c>
      <c r="C51" s="254">
        <v>2.7353906989698995</v>
      </c>
      <c r="D51" s="254">
        <v>1.8846220144033308</v>
      </c>
      <c r="E51" s="254">
        <v>3.1579472771286263</v>
      </c>
      <c r="F51" s="254">
        <v>4.6248384642198754</v>
      </c>
      <c r="G51" s="254">
        <v>5.0543478252260705</v>
      </c>
      <c r="H51" s="254">
        <v>6.5586410751842594</v>
      </c>
      <c r="I51" s="254">
        <v>3.5439488103200572</v>
      </c>
      <c r="J51" s="254">
        <v>1.5287320971499549</v>
      </c>
    </row>
    <row r="52" spans="1:10">
      <c r="A52" s="244">
        <v>53</v>
      </c>
      <c r="B52" s="248" t="s">
        <v>128</v>
      </c>
      <c r="C52" s="255">
        <v>1.2495353884483742E-2</v>
      </c>
      <c r="D52" s="255">
        <v>1.4719858233906117E-2</v>
      </c>
      <c r="E52" s="255">
        <v>1.2048945121559931E-2</v>
      </c>
      <c r="F52" s="255">
        <v>1.1280284493312734E-2</v>
      </c>
      <c r="G52" s="255">
        <v>1.078006770625094E-2</v>
      </c>
      <c r="H52" s="255">
        <v>1.0128294340009444E-2</v>
      </c>
      <c r="I52" s="255">
        <v>1.1267192769009421E-2</v>
      </c>
      <c r="J52" s="255">
        <v>4.534921830694841E-3</v>
      </c>
    </row>
    <row r="53" spans="1:10">
      <c r="A53" s="244">
        <v>54</v>
      </c>
      <c r="B53" s="248" t="s">
        <v>129</v>
      </c>
      <c r="C53" s="254">
        <v>368.01855105308471</v>
      </c>
      <c r="D53" s="254">
        <v>208.21687999764757</v>
      </c>
      <c r="E53" s="254">
        <v>335.39775769305464</v>
      </c>
      <c r="F53" s="254">
        <v>9966.0751677139251</v>
      </c>
      <c r="G53" s="254">
        <v>67355.655513676757</v>
      </c>
      <c r="H53" s="254">
        <v>4261804.9706547316</v>
      </c>
      <c r="I53" s="254">
        <v>361.5451143872715</v>
      </c>
      <c r="J53" s="254">
        <v>19.714208435573443</v>
      </c>
    </row>
    <row r="54" spans="1:10">
      <c r="A54" s="244">
        <v>55</v>
      </c>
      <c r="B54" s="248"/>
      <c r="C54" s="247"/>
      <c r="D54" s="247"/>
      <c r="E54" s="247"/>
      <c r="F54" s="247"/>
      <c r="G54" s="247"/>
      <c r="H54" s="247"/>
      <c r="I54" s="247"/>
      <c r="J54" s="247"/>
    </row>
    <row r="55" spans="1:10">
      <c r="A55" s="244">
        <v>56</v>
      </c>
      <c r="B55" s="252" t="s">
        <v>135</v>
      </c>
      <c r="C55" s="253">
        <v>1</v>
      </c>
      <c r="D55" s="253">
        <v>0.44624118059914453</v>
      </c>
      <c r="E55" s="253">
        <v>0.13273248911837635</v>
      </c>
      <c r="F55" s="253">
        <v>0.21251206685915214</v>
      </c>
      <c r="G55" s="253">
        <v>8.6050102083598368E-2</v>
      </c>
      <c r="H55" s="253">
        <v>8.4429617970647991E-2</v>
      </c>
      <c r="I55" s="253">
        <v>3.6871358418326804E-2</v>
      </c>
      <c r="J55" s="253">
        <v>1.1631849507539695E-3</v>
      </c>
    </row>
    <row r="56" spans="1:10">
      <c r="A56" s="244">
        <v>57</v>
      </c>
      <c r="B56" s="248" t="s">
        <v>127</v>
      </c>
      <c r="C56" s="247">
        <v>0.82790003269638113</v>
      </c>
      <c r="D56" s="247">
        <v>0.36944308800850345</v>
      </c>
      <c r="E56" s="247">
        <v>0.10988923208097583</v>
      </c>
      <c r="F56" s="247">
        <v>0.17593874710106758</v>
      </c>
      <c r="G56" s="247">
        <v>7.1240882328538022E-2</v>
      </c>
      <c r="H56" s="247">
        <v>6.9899283478442445E-2</v>
      </c>
      <c r="I56" s="247">
        <v>3.0525798840092749E-2</v>
      </c>
      <c r="J56" s="247">
        <v>9.6300085876114985E-4</v>
      </c>
    </row>
    <row r="57" spans="1:10">
      <c r="A57" s="244">
        <v>58</v>
      </c>
      <c r="B57" s="248" t="s">
        <v>322</v>
      </c>
      <c r="C57" s="254">
        <v>4.4959503918319734E-8</v>
      </c>
      <c r="D57" s="254">
        <v>3.1022628376394528E-8</v>
      </c>
      <c r="E57" s="254">
        <v>5.1918505753091608E-8</v>
      </c>
      <c r="F57" s="254">
        <v>7.5870975535127206E-8</v>
      </c>
      <c r="G57" s="254">
        <v>8.291129312831375E-8</v>
      </c>
      <c r="H57" s="254">
        <v>1.0757045780000377E-7</v>
      </c>
      <c r="I57" s="254">
        <v>5.8262970107469668E-8</v>
      </c>
      <c r="J57" s="254">
        <v>2.5986172925658894E-8</v>
      </c>
    </row>
    <row r="58" spans="1:10">
      <c r="A58" s="244">
        <v>59</v>
      </c>
      <c r="B58" s="248" t="s">
        <v>128</v>
      </c>
      <c r="C58" s="255">
        <v>2.0537647954341471E-10</v>
      </c>
      <c r="D58" s="255">
        <v>2.4230253507266554E-10</v>
      </c>
      <c r="E58" s="255">
        <v>1.9809172595851241E-10</v>
      </c>
      <c r="F58" s="255">
        <v>1.8505428793733462E-10</v>
      </c>
      <c r="G58" s="255">
        <v>1.7683574309531482E-10</v>
      </c>
      <c r="H58" s="255">
        <v>1.6611753050648442E-10</v>
      </c>
      <c r="I58" s="255">
        <v>1.8523408509295281E-10</v>
      </c>
      <c r="J58" s="255">
        <v>7.7086929172536479E-11</v>
      </c>
    </row>
    <row r="59" spans="1:10">
      <c r="A59" s="244">
        <v>60</v>
      </c>
      <c r="B59" s="248" t="s">
        <v>129</v>
      </c>
      <c r="C59" s="254">
        <v>6.0488366412580188E-6</v>
      </c>
      <c r="D59" s="254">
        <v>3.4274431904608763E-6</v>
      </c>
      <c r="E59" s="254">
        <v>5.5141358877257841E-6</v>
      </c>
      <c r="F59" s="254">
        <v>1.6349454171874696E-4</v>
      </c>
      <c r="G59" s="254">
        <v>1.1048991267027396E-3</v>
      </c>
      <c r="H59" s="254">
        <v>6.9899283478442445E-2</v>
      </c>
      <c r="I59" s="254">
        <v>5.943847758383658E-6</v>
      </c>
      <c r="J59" s="254">
        <v>3.3511223480842703E-7</v>
      </c>
    </row>
    <row r="60" spans="1:10">
      <c r="A60" s="244">
        <v>61</v>
      </c>
      <c r="B60" s="248"/>
      <c r="C60" s="247"/>
      <c r="D60" s="247"/>
      <c r="E60" s="247"/>
      <c r="F60" s="247"/>
      <c r="G60" s="247"/>
      <c r="H60" s="247"/>
      <c r="I60" s="247"/>
      <c r="J60" s="247"/>
    </row>
    <row r="61" spans="1:10">
      <c r="A61" s="244">
        <v>62</v>
      </c>
      <c r="B61" s="252" t="s">
        <v>136</v>
      </c>
      <c r="C61" s="253">
        <v>1</v>
      </c>
      <c r="D61" s="253">
        <v>0.56579190159246706</v>
      </c>
      <c r="E61" s="253">
        <v>0.16214920741208413</v>
      </c>
      <c r="F61" s="253">
        <v>0.14684190109855774</v>
      </c>
      <c r="G61" s="253">
        <v>5.7244634602619672E-2</v>
      </c>
      <c r="H61" s="253">
        <v>1.4354849192018883E-2</v>
      </c>
      <c r="I61" s="253">
        <v>5.1923863743438457E-2</v>
      </c>
      <c r="J61" s="253">
        <v>1.6936423587907605E-3</v>
      </c>
    </row>
    <row r="62" spans="1:10">
      <c r="A62" s="244">
        <v>63</v>
      </c>
      <c r="B62" s="248" t="s">
        <v>127</v>
      </c>
      <c r="C62" s="247">
        <v>46606441.488225117</v>
      </c>
      <c r="D62" s="247">
        <v>26369547.156081535</v>
      </c>
      <c r="E62" s="247">
        <v>7557197.5476135472</v>
      </c>
      <c r="F62" s="247">
        <v>6843778.4715698287</v>
      </c>
      <c r="G62" s="247">
        <v>2667968.7131218817</v>
      </c>
      <c r="H62" s="247">
        <v>669028.43894013879</v>
      </c>
      <c r="I62" s="247">
        <v>2419986.5174011928</v>
      </c>
      <c r="J62" s="247">
        <v>78934.643496962948</v>
      </c>
    </row>
    <row r="63" spans="1:10">
      <c r="A63" s="244">
        <v>64</v>
      </c>
      <c r="B63" s="248" t="s">
        <v>322</v>
      </c>
      <c r="C63" s="254">
        <v>2.5309849087507543</v>
      </c>
      <c r="D63" s="254">
        <v>2.2142860116470757</v>
      </c>
      <c r="E63" s="254">
        <v>3.5704900009120122</v>
      </c>
      <c r="F63" s="254">
        <v>2.9512779733848298</v>
      </c>
      <c r="G63" s="254">
        <v>3.10502521586832</v>
      </c>
      <c r="H63" s="254">
        <v>1.0295913187752213</v>
      </c>
      <c r="I63" s="254">
        <v>4.6188996678652332</v>
      </c>
      <c r="J63" s="254">
        <v>2.1300181376536762</v>
      </c>
    </row>
    <row r="64" spans="1:10">
      <c r="A64" s="244">
        <v>65</v>
      </c>
      <c r="B64" s="248" t="s">
        <v>128</v>
      </c>
      <c r="C64" s="255">
        <v>1.1561621571294402E-2</v>
      </c>
      <c r="D64" s="255">
        <v>1.7294702031317173E-2</v>
      </c>
      <c r="E64" s="255">
        <v>1.362297540229486E-2</v>
      </c>
      <c r="F64" s="255">
        <v>7.1983606381469459E-3</v>
      </c>
      <c r="G64" s="255">
        <v>6.6224927951371807E-3</v>
      </c>
      <c r="H64" s="255">
        <v>1.5899641110000775E-3</v>
      </c>
      <c r="I64" s="255">
        <v>1.4684758647473583E-2</v>
      </c>
      <c r="J64" s="255">
        <v>6.3186125091701517E-3</v>
      </c>
    </row>
    <row r="65" spans="1:10">
      <c r="A65" s="244">
        <v>66</v>
      </c>
      <c r="B65" s="248" t="s">
        <v>129</v>
      </c>
      <c r="C65" s="254">
        <v>340.51786430598156</v>
      </c>
      <c r="D65" s="254">
        <v>244.63883009111368</v>
      </c>
      <c r="E65" s="254">
        <v>379.21289846872412</v>
      </c>
      <c r="F65" s="254">
        <v>6359.7157719395072</v>
      </c>
      <c r="G65" s="254">
        <v>41378.436156983698</v>
      </c>
      <c r="H65" s="254">
        <v>669028.43894013879</v>
      </c>
      <c r="I65" s="254">
        <v>471.20900953726033</v>
      </c>
      <c r="J65" s="254">
        <v>27.468267079328246</v>
      </c>
    </row>
    <row r="66" spans="1:10">
      <c r="A66" s="244">
        <v>67</v>
      </c>
      <c r="B66" s="248"/>
      <c r="C66" s="254"/>
      <c r="D66" s="254"/>
      <c r="E66" s="254"/>
      <c r="F66" s="254"/>
      <c r="G66" s="254"/>
      <c r="H66" s="254"/>
      <c r="I66" s="254"/>
      <c r="J66" s="254"/>
    </row>
    <row r="67" spans="1:10">
      <c r="A67" s="244">
        <v>68</v>
      </c>
      <c r="B67" s="252" t="s">
        <v>137</v>
      </c>
      <c r="C67" s="253">
        <v>1</v>
      </c>
      <c r="D67" s="253">
        <v>0.44784740438567738</v>
      </c>
      <c r="E67" s="253">
        <v>0.12832917548729028</v>
      </c>
      <c r="F67" s="253">
        <v>0.20991226472519139</v>
      </c>
      <c r="G67" s="253">
        <v>9.0925600140354584E-2</v>
      </c>
      <c r="H67" s="253">
        <v>7.0311392554748373E-2</v>
      </c>
      <c r="I67" s="253">
        <v>5.0824217912576117E-2</v>
      </c>
      <c r="J67" s="253">
        <v>1.8499447941642498E-3</v>
      </c>
    </row>
    <row r="68" spans="1:10">
      <c r="A68" s="244">
        <v>69</v>
      </c>
      <c r="B68" s="248" t="s">
        <v>127</v>
      </c>
      <c r="C68" s="247">
        <v>7726476.500286161</v>
      </c>
      <c r="D68" s="247">
        <v>3460282.4457000415</v>
      </c>
      <c r="E68" s="247">
        <v>991532.35870363307</v>
      </c>
      <c r="F68" s="247">
        <v>1621882.1805210228</v>
      </c>
      <c r="G68" s="247">
        <v>702534.51275885932</v>
      </c>
      <c r="H68" s="247">
        <v>543259.32227665524</v>
      </c>
      <c r="I68" s="247">
        <v>392692.12534693704</v>
      </c>
      <c r="J68" s="247">
        <v>14293.554978936631</v>
      </c>
    </row>
    <row r="69" spans="1:10">
      <c r="A69" s="244">
        <v>70</v>
      </c>
      <c r="B69" s="248" t="s">
        <v>322</v>
      </c>
      <c r="C69" s="254">
        <v>0.41958997073359994</v>
      </c>
      <c r="D69" s="254">
        <v>0.290564527730028</v>
      </c>
      <c r="E69" s="254">
        <v>0.46846153617487291</v>
      </c>
      <c r="F69" s="254">
        <v>0.69941263801589626</v>
      </c>
      <c r="G69" s="254">
        <v>0.81762104870469265</v>
      </c>
      <c r="H69" s="254">
        <v>0.83604081606133462</v>
      </c>
      <c r="I69" s="254">
        <v>0.74951059202019588</v>
      </c>
      <c r="J69" s="254">
        <v>0.38570556612264223</v>
      </c>
    </row>
    <row r="70" spans="1:10">
      <c r="A70" s="244">
        <v>71</v>
      </c>
      <c r="B70" s="248" t="s">
        <v>128</v>
      </c>
      <c r="C70" s="255">
        <v>1.9167006646147117E-3</v>
      </c>
      <c r="D70" s="255">
        <v>2.2694570175346329E-3</v>
      </c>
      <c r="E70" s="255">
        <v>1.787384919885349E-3</v>
      </c>
      <c r="F70" s="255">
        <v>1.7059133191516759E-3</v>
      </c>
      <c r="G70" s="255">
        <v>1.7438471921346751E-3</v>
      </c>
      <c r="H70" s="255">
        <v>1.2910704166095872E-3</v>
      </c>
      <c r="I70" s="255">
        <v>2.3829013269362816E-3</v>
      </c>
      <c r="J70" s="255">
        <v>1.1441799353144001E-3</v>
      </c>
    </row>
    <row r="71" spans="1:10">
      <c r="A71" s="244">
        <v>72</v>
      </c>
      <c r="B71" s="248" t="s">
        <v>129</v>
      </c>
      <c r="C71" s="254">
        <v>56.451494524689423</v>
      </c>
      <c r="D71" s="254">
        <v>32.102161037894248</v>
      </c>
      <c r="E71" s="254">
        <v>49.754139322224184</v>
      </c>
      <c r="F71" s="254">
        <v>1507.1659210677512</v>
      </c>
      <c r="G71" s="254">
        <v>10895.84721938308</v>
      </c>
      <c r="H71" s="254">
        <v>543259.32227665524</v>
      </c>
      <c r="I71" s="254">
        <v>76.463263785669838</v>
      </c>
      <c r="J71" s="254">
        <v>4.973978069459446</v>
      </c>
    </row>
    <row r="72" spans="1:10">
      <c r="A72" s="244">
        <v>73</v>
      </c>
      <c r="B72" s="248"/>
      <c r="C72" s="247"/>
      <c r="D72" s="247"/>
      <c r="E72" s="247"/>
      <c r="F72" s="247"/>
      <c r="G72" s="247"/>
      <c r="H72" s="247"/>
      <c r="I72" s="247"/>
      <c r="J72" s="247"/>
    </row>
    <row r="73" spans="1:10">
      <c r="A73" s="244">
        <v>74</v>
      </c>
      <c r="B73" s="252" t="s">
        <v>138</v>
      </c>
      <c r="C73" s="253">
        <v>1</v>
      </c>
      <c r="D73" s="253">
        <v>0.56481248149466556</v>
      </c>
      <c r="E73" s="253">
        <v>0.14143301731982819</v>
      </c>
      <c r="F73" s="253">
        <v>0.1709877207726723</v>
      </c>
      <c r="G73" s="253">
        <v>7.3113917298542733E-2</v>
      </c>
      <c r="H73" s="253">
        <v>5.6425019097710027E-3</v>
      </c>
      <c r="I73" s="253">
        <v>4.2038881315875763E-2</v>
      </c>
      <c r="J73" s="253">
        <v>1.9714798886415886E-3</v>
      </c>
    </row>
    <row r="74" spans="1:10">
      <c r="A74" s="244">
        <v>75</v>
      </c>
      <c r="B74" s="248" t="s">
        <v>127</v>
      </c>
      <c r="C74" s="247">
        <v>25298372.747884996</v>
      </c>
      <c r="D74" s="247">
        <v>14288836.689509969</v>
      </c>
      <c r="E74" s="247">
        <v>3578025.1910150945</v>
      </c>
      <c r="F74" s="247">
        <v>4325711.0954183498</v>
      </c>
      <c r="G74" s="247">
        <v>1849663.1328765734</v>
      </c>
      <c r="H74" s="247">
        <v>142746.11654404047</v>
      </c>
      <c r="I74" s="247">
        <v>1063515.2894331249</v>
      </c>
      <c r="J74" s="247">
        <v>49875.233087813773</v>
      </c>
    </row>
    <row r="75" spans="1:10">
      <c r="A75" s="244">
        <v>76</v>
      </c>
      <c r="B75" s="248" t="s">
        <v>322</v>
      </c>
      <c r="C75" s="254">
        <v>1.3738401301679528</v>
      </c>
      <c r="D75" s="254">
        <v>1.1998526564379961</v>
      </c>
      <c r="E75" s="254">
        <v>1.6904815689997337</v>
      </c>
      <c r="F75" s="254">
        <v>1.8653987600808741</v>
      </c>
      <c r="G75" s="254">
        <v>2.1526679230519838</v>
      </c>
      <c r="H75" s="254">
        <v>0.21967700299175202</v>
      </c>
      <c r="I75" s="254">
        <v>2.0298751178198762</v>
      </c>
      <c r="J75" s="254">
        <v>1.3458621764832011</v>
      </c>
    </row>
    <row r="76" spans="1:10">
      <c r="A76" s="244">
        <v>77</v>
      </c>
      <c r="B76" s="248" t="s">
        <v>128</v>
      </c>
      <c r="C76" s="255">
        <v>6.2757465007168547E-3</v>
      </c>
      <c r="D76" s="255">
        <v>9.3714606267796506E-3</v>
      </c>
      <c r="E76" s="255">
        <v>6.4499239114613905E-3</v>
      </c>
      <c r="F76" s="255">
        <v>4.5498299821666354E-3</v>
      </c>
      <c r="G76" s="255">
        <v>4.5912760185903949E-3</v>
      </c>
      <c r="H76" s="255">
        <v>3.3923999202366658E-4</v>
      </c>
      <c r="I76" s="255">
        <v>6.4535340304271369E-3</v>
      </c>
      <c r="J76" s="255">
        <v>3.9924456198825098E-3</v>
      </c>
    </row>
    <row r="77" spans="1:10">
      <c r="A77" s="244">
        <v>78</v>
      </c>
      <c r="B77" s="248" t="s">
        <v>129</v>
      </c>
      <c r="C77" s="254">
        <v>184.83599226735359</v>
      </c>
      <c r="D77" s="254">
        <v>132.56216613786327</v>
      </c>
      <c r="E77" s="254">
        <v>179.54185991967518</v>
      </c>
      <c r="F77" s="254">
        <v>4019.7521285453704</v>
      </c>
      <c r="G77" s="254">
        <v>28687.055991036024</v>
      </c>
      <c r="H77" s="254">
        <v>142746.11654404047</v>
      </c>
      <c r="I77" s="254">
        <v>207.08296618928452</v>
      </c>
      <c r="J77" s="254">
        <v>17.355956300132387</v>
      </c>
    </row>
    <row r="78" spans="1:10">
      <c r="A78" s="244">
        <v>79</v>
      </c>
      <c r="B78" s="248"/>
      <c r="C78" s="247"/>
      <c r="D78" s="247"/>
      <c r="E78" s="247"/>
      <c r="F78" s="247"/>
      <c r="G78" s="247"/>
      <c r="H78" s="247"/>
      <c r="I78" s="247"/>
      <c r="J78" s="247"/>
    </row>
    <row r="79" spans="1:10">
      <c r="A79" s="244">
        <v>80</v>
      </c>
      <c r="B79" s="252" t="s">
        <v>139</v>
      </c>
      <c r="C79" s="253">
        <v>1</v>
      </c>
      <c r="D79" s="253">
        <v>0.54766499533640389</v>
      </c>
      <c r="E79" s="253">
        <v>0.2402560684368262</v>
      </c>
      <c r="F79" s="253">
        <v>8.0680601615390923E-2</v>
      </c>
      <c r="G79" s="253">
        <v>7.6207402351145623E-3</v>
      </c>
      <c r="H79" s="253">
        <v>-2.1060425933037605E-3</v>
      </c>
      <c r="I79" s="253">
        <v>0.12380493075740971</v>
      </c>
      <c r="J79" s="253">
        <v>2.0787062121611745E-3</v>
      </c>
    </row>
    <row r="80" spans="1:10">
      <c r="A80" s="244">
        <v>81</v>
      </c>
      <c r="B80" s="248" t="s">
        <v>127</v>
      </c>
      <c r="C80" s="247">
        <v>7520178.0003496306</v>
      </c>
      <c r="D80" s="247">
        <v>4118538.2494903579</v>
      </c>
      <c r="E80" s="247">
        <v>1806768.400309098</v>
      </c>
      <c r="F80" s="247">
        <v>606732.48532302538</v>
      </c>
      <c r="G80" s="247">
        <v>57309.323062484749</v>
      </c>
      <c r="H80" s="247">
        <v>-15837.815177962895</v>
      </c>
      <c r="I80" s="247">
        <v>931035.116616674</v>
      </c>
      <c r="J80" s="247">
        <v>15632.240725884407</v>
      </c>
    </row>
    <row r="81" spans="1:10">
      <c r="A81" s="244">
        <v>82</v>
      </c>
      <c r="B81" s="248" t="s">
        <v>322</v>
      </c>
      <c r="C81" s="254">
        <v>0.40838683285470412</v>
      </c>
      <c r="D81" s="254">
        <v>0.34583914468841004</v>
      </c>
      <c r="E81" s="254">
        <v>0.8536297306803331</v>
      </c>
      <c r="F81" s="254">
        <v>0.26164438651973815</v>
      </c>
      <c r="G81" s="254">
        <v>6.6697518729572067E-2</v>
      </c>
      <c r="H81" s="254">
        <v>-2.4373369002712982E-2</v>
      </c>
      <c r="I81" s="254">
        <v>1.7770172519513661</v>
      </c>
      <c r="J81" s="254">
        <v>0.42182943766108699</v>
      </c>
    </row>
    <row r="82" spans="1:10">
      <c r="A82" s="244">
        <v>83</v>
      </c>
      <c r="B82" s="248" t="s">
        <v>128</v>
      </c>
      <c r="C82" s="255">
        <v>1.8655243655704163E-3</v>
      </c>
      <c r="D82" s="255">
        <v>2.7011799409339134E-3</v>
      </c>
      <c r="E82" s="255">
        <v>3.2569694413806978E-3</v>
      </c>
      <c r="F82" s="255">
        <v>6.3816782766677152E-4</v>
      </c>
      <c r="G82" s="255">
        <v>1.4225450891116058E-4</v>
      </c>
      <c r="H82" s="255">
        <v>-3.763899449402393E-5</v>
      </c>
      <c r="I82" s="255">
        <v>5.6496289882311309E-3</v>
      </c>
      <c r="J82" s="255">
        <v>1.2513399367000712E-3</v>
      </c>
    </row>
    <row r="83" spans="1:10">
      <c r="A83" s="244">
        <v>84</v>
      </c>
      <c r="B83" s="248" t="s">
        <v>129</v>
      </c>
      <c r="C83" s="254">
        <v>54.944228096170889</v>
      </c>
      <c r="D83" s="254">
        <v>38.209013339406361</v>
      </c>
      <c r="E83" s="254">
        <v>90.661899153248072</v>
      </c>
      <c r="F83" s="254">
        <v>563.81809731076851</v>
      </c>
      <c r="G83" s="254">
        <v>888.82982543155731</v>
      </c>
      <c r="H83" s="254">
        <v>-15837.815177962895</v>
      </c>
      <c r="I83" s="254">
        <v>181.28701626671898</v>
      </c>
      <c r="J83" s="254">
        <v>5.4398239389459713</v>
      </c>
    </row>
    <row r="84" spans="1:10">
      <c r="A84" s="244">
        <v>85</v>
      </c>
      <c r="B84" s="248"/>
      <c r="C84" s="247"/>
      <c r="D84" s="247"/>
      <c r="E84" s="247"/>
      <c r="F84" s="247"/>
      <c r="G84" s="247"/>
      <c r="H84" s="247"/>
      <c r="I84" s="247"/>
      <c r="J84" s="247"/>
    </row>
    <row r="85" spans="1:10">
      <c r="A85" s="244">
        <v>86</v>
      </c>
      <c r="B85" s="252" t="s">
        <v>140</v>
      </c>
      <c r="C85" s="253">
        <v>1</v>
      </c>
      <c r="D85" s="253">
        <v>0.68943648051197159</v>
      </c>
      <c r="E85" s="253">
        <v>0.17098057306421768</v>
      </c>
      <c r="F85" s="253">
        <v>6.9198455768524736E-2</v>
      </c>
      <c r="G85" s="253">
        <v>1.0656219703790945E-2</v>
      </c>
      <c r="H85" s="253">
        <v>6.665367878903E-3</v>
      </c>
      <c r="I85" s="253">
        <v>5.3168423397373057E-2</v>
      </c>
      <c r="J85" s="253">
        <v>-1.0552032478462094E-4</v>
      </c>
    </row>
    <row r="86" spans="1:10">
      <c r="A86" s="244">
        <v>87</v>
      </c>
      <c r="B86" s="248" t="s">
        <v>127</v>
      </c>
      <c r="C86" s="247">
        <v>1467299.9807857354</v>
      </c>
      <c r="D86" s="247">
        <v>1011610.1346082025</v>
      </c>
      <c r="E86" s="247">
        <v>250879.79157186105</v>
      </c>
      <c r="F86" s="247">
        <v>101534.89281955925</v>
      </c>
      <c r="G86" s="247">
        <v>15635.870966621158</v>
      </c>
      <c r="H86" s="247">
        <v>9780.0941606442648</v>
      </c>
      <c r="I86" s="247">
        <v>78014.02662937346</v>
      </c>
      <c r="J86" s="247">
        <v>-154.82997052897545</v>
      </c>
    </row>
    <row r="87" spans="1:10">
      <c r="A87" s="244">
        <v>88</v>
      </c>
      <c r="B87" s="248" t="s">
        <v>322</v>
      </c>
      <c r="C87" s="254">
        <v>7.968242134335056E-2</v>
      </c>
      <c r="D87" s="254">
        <v>8.4946250955498667E-2</v>
      </c>
      <c r="E87" s="254">
        <v>0.11853121234353452</v>
      </c>
      <c r="F87" s="254">
        <v>4.3785416777176761E-2</v>
      </c>
      <c r="G87" s="254">
        <v>1.8197279969828544E-2</v>
      </c>
      <c r="H87" s="254">
        <v>1.5050929763995483E-2</v>
      </c>
      <c r="I87" s="254">
        <v>0.14890122696807753</v>
      </c>
      <c r="J87" s="254">
        <v>-4.178021599499474E-3</v>
      </c>
    </row>
    <row r="88" spans="1:10">
      <c r="A88" s="244">
        <v>89</v>
      </c>
      <c r="B88" s="248" t="s">
        <v>128</v>
      </c>
      <c r="C88" s="255">
        <v>3.6399189828080269E-4</v>
      </c>
      <c r="D88" s="255">
        <v>6.6347350397614167E-4</v>
      </c>
      <c r="E88" s="255">
        <v>4.5224823196471727E-4</v>
      </c>
      <c r="F88" s="255">
        <v>1.0679550469188896E-4</v>
      </c>
      <c r="G88" s="255">
        <v>3.8811715562053077E-5</v>
      </c>
      <c r="H88" s="255">
        <v>2.3242657281146074E-5</v>
      </c>
      <c r="I88" s="255">
        <v>4.7339815487905976E-4</v>
      </c>
      <c r="J88" s="255">
        <v>-1.2393931805322858E-5</v>
      </c>
    </row>
    <row r="89" spans="1:10">
      <c r="A89" s="244">
        <v>90</v>
      </c>
      <c r="B89" s="248" t="s">
        <v>129</v>
      </c>
      <c r="C89" s="254">
        <v>10.72044635460097</v>
      </c>
      <c r="D89" s="254">
        <v>9.3850348803502026</v>
      </c>
      <c r="E89" s="254">
        <v>12.588906447104542</v>
      </c>
      <c r="F89" s="254">
        <v>94.353296493920524</v>
      </c>
      <c r="G89" s="254">
        <v>242.502052355069</v>
      </c>
      <c r="H89" s="254">
        <v>9780.0941606442648</v>
      </c>
      <c r="I89" s="254">
        <v>15.190544225642141</v>
      </c>
      <c r="J89" s="254">
        <v>-5.3878890104039706E-2</v>
      </c>
    </row>
    <row r="90" spans="1:10">
      <c r="A90" s="244">
        <v>91</v>
      </c>
      <c r="B90" s="248"/>
      <c r="C90" s="247"/>
      <c r="D90" s="247"/>
      <c r="E90" s="247"/>
      <c r="F90" s="247"/>
      <c r="G90" s="247"/>
      <c r="H90" s="247"/>
      <c r="I90" s="247"/>
      <c r="J90" s="247"/>
    </row>
    <row r="91" spans="1:10">
      <c r="A91" s="244">
        <v>92</v>
      </c>
      <c r="B91" s="252" t="s">
        <v>141</v>
      </c>
      <c r="C91" s="253">
        <v>1</v>
      </c>
      <c r="D91" s="253">
        <v>0.75972852220581699</v>
      </c>
      <c r="E91" s="253">
        <v>0.20243114419900171</v>
      </c>
      <c r="F91" s="253">
        <v>4.0904036533928823E-2</v>
      </c>
      <c r="G91" s="253">
        <v>9.3218999449558148E-3</v>
      </c>
      <c r="H91" s="253">
        <v>-2.3767974081277919E-3</v>
      </c>
      <c r="I91" s="253">
        <v>-9.8539213597146728E-3</v>
      </c>
      <c r="J91" s="253">
        <v>-1.5488411585798839E-4</v>
      </c>
    </row>
    <row r="92" spans="1:10">
      <c r="A92" s="244">
        <v>93</v>
      </c>
      <c r="B92" s="248" t="s">
        <v>127</v>
      </c>
      <c r="C92" s="247">
        <v>4594114.2589185825</v>
      </c>
      <c r="D92" s="247">
        <v>3490279.6367728468</v>
      </c>
      <c r="E92" s="247">
        <v>929991.80601382628</v>
      </c>
      <c r="F92" s="247">
        <v>187917.81748784278</v>
      </c>
      <c r="G92" s="247">
        <v>42825.873457331647</v>
      </c>
      <c r="H92" s="247">
        <v>-10919.278863241096</v>
      </c>
      <c r="I92" s="247">
        <v>-45270.040624929374</v>
      </c>
      <c r="J92" s="247">
        <v>-711.55532514323932</v>
      </c>
    </row>
    <row r="93" spans="1:10">
      <c r="A93" s="244">
        <v>94</v>
      </c>
      <c r="B93" s="248" t="s">
        <v>322</v>
      </c>
      <c r="C93" s="254">
        <v>0.24948555365114605</v>
      </c>
      <c r="D93" s="254">
        <v>0.29308343183513313</v>
      </c>
      <c r="E93" s="254">
        <v>0.43938595271352204</v>
      </c>
      <c r="F93" s="254">
        <v>8.1036771991131837E-2</v>
      </c>
      <c r="G93" s="254">
        <v>4.9841445412229533E-2</v>
      </c>
      <c r="H93" s="254">
        <v>-1.6804061039152194E-2</v>
      </c>
      <c r="I93" s="254">
        <v>-8.6404520894306711E-2</v>
      </c>
      <c r="J93" s="254">
        <v>-1.9201021013764041E-2</v>
      </c>
    </row>
    <row r="94" spans="1:10">
      <c r="A94" s="244">
        <v>95</v>
      </c>
      <c r="B94" s="248" t="s">
        <v>128</v>
      </c>
      <c r="C94" s="255">
        <v>1.1396581421116139E-3</v>
      </c>
      <c r="D94" s="255">
        <v>2.2891309420927574E-3</v>
      </c>
      <c r="E94" s="255">
        <v>1.6764488976026429E-3</v>
      </c>
      <c r="F94" s="255">
        <v>1.9765400446994399E-4</v>
      </c>
      <c r="G94" s="255">
        <v>1.063033599388686E-4</v>
      </c>
      <c r="H94" s="255">
        <v>-2.5949960420305037E-5</v>
      </c>
      <c r="I94" s="255">
        <v>-2.7470385300010447E-4</v>
      </c>
      <c r="J94" s="255">
        <v>-5.6959050921534779E-5</v>
      </c>
    </row>
    <row r="95" spans="1:10">
      <c r="A95" s="244">
        <v>96</v>
      </c>
      <c r="B95" s="248" t="s">
        <v>129</v>
      </c>
      <c r="C95" s="254">
        <v>33.565703063166602</v>
      </c>
      <c r="D95" s="254">
        <v>32.380454695598502</v>
      </c>
      <c r="E95" s="254">
        <v>46.66609362647042</v>
      </c>
      <c r="F95" s="254">
        <v>174.62632852166971</v>
      </c>
      <c r="G95" s="254">
        <v>664.20106877779062</v>
      </c>
      <c r="H95" s="254">
        <v>-10919.278863241096</v>
      </c>
      <c r="I95" s="254">
        <v>-8.8147809300575872</v>
      </c>
      <c r="J95" s="254">
        <v>-0.24761233910563946</v>
      </c>
    </row>
    <row r="96" spans="1:10">
      <c r="A96" s="244">
        <v>97</v>
      </c>
      <c r="B96" s="248"/>
      <c r="C96" s="254"/>
      <c r="D96" s="254"/>
      <c r="E96" s="254"/>
      <c r="F96" s="254"/>
      <c r="G96" s="254"/>
      <c r="H96" s="254"/>
      <c r="I96" s="254"/>
      <c r="J96" s="254"/>
    </row>
    <row r="97" spans="1:10">
      <c r="A97" s="244">
        <v>98</v>
      </c>
      <c r="B97" s="252" t="s">
        <v>323</v>
      </c>
      <c r="C97" s="253">
        <v>1</v>
      </c>
      <c r="D97" s="253">
        <v>0.80527731719031259</v>
      </c>
      <c r="E97" s="253">
        <v>0.1344627037992869</v>
      </c>
      <c r="F97" s="253">
        <v>1.5789062937379608E-2</v>
      </c>
      <c r="G97" s="253">
        <v>6.539134445944895E-3</v>
      </c>
      <c r="H97" s="253">
        <v>5.9997420391031649E-3</v>
      </c>
      <c r="I97" s="253">
        <v>1.6571182719156249E-2</v>
      </c>
      <c r="J97" s="253">
        <v>1.5360856868817122E-2</v>
      </c>
    </row>
    <row r="98" spans="1:10">
      <c r="A98" s="244">
        <v>99</v>
      </c>
      <c r="B98" s="248" t="s">
        <v>127</v>
      </c>
      <c r="C98" s="247">
        <v>7899954.8822249481</v>
      </c>
      <c r="D98" s="247">
        <v>6361654.4734826162</v>
      </c>
      <c r="E98" s="247">
        <v>1062249.2933563434</v>
      </c>
      <c r="F98" s="247">
        <v>124732.88483790911</v>
      </c>
      <c r="G98" s="247">
        <v>51658.867091767708</v>
      </c>
      <c r="H98" s="247">
        <v>47397.691413903296</v>
      </c>
      <c r="I98" s="247">
        <v>130911.59582644011</v>
      </c>
      <c r="J98" s="247">
        <v>121350.0762159704</v>
      </c>
    </row>
    <row r="99" spans="1:10">
      <c r="A99" s="244">
        <v>100</v>
      </c>
      <c r="B99" s="248" t="s">
        <v>322</v>
      </c>
      <c r="C99" s="254">
        <v>0.42901079653924529</v>
      </c>
      <c r="D99" s="254">
        <v>0.53419660292937055</v>
      </c>
      <c r="E99" s="254">
        <v>0.5018726130299942</v>
      </c>
      <c r="F99" s="254">
        <v>5.3789206811427938E-2</v>
      </c>
      <c r="G99" s="254">
        <v>6.0121426519817354E-2</v>
      </c>
      <c r="H99" s="254">
        <v>7.2941968934908119E-2</v>
      </c>
      <c r="I99" s="254">
        <v>0.2498640063217378</v>
      </c>
      <c r="J99" s="254">
        <v>3.2745807404022549</v>
      </c>
    </row>
    <row r="100" spans="1:10">
      <c r="A100" s="244">
        <v>101</v>
      </c>
      <c r="B100" s="248" t="s">
        <v>128</v>
      </c>
      <c r="C100" s="255">
        <v>1.9597353040064244E-3</v>
      </c>
      <c r="D100" s="255">
        <v>4.1723476665659577E-3</v>
      </c>
      <c r="E100" s="255">
        <v>1.9148627389088554E-3</v>
      </c>
      <c r="F100" s="255">
        <v>1.3119540502803075E-4</v>
      </c>
      <c r="G100" s="255">
        <v>1.2822881821573749E-4</v>
      </c>
      <c r="H100" s="255">
        <v>1.1264189069712423E-4</v>
      </c>
      <c r="I100" s="255">
        <v>7.9438673523327759E-4</v>
      </c>
      <c r="J100" s="255">
        <v>9.7139110990788671E-3</v>
      </c>
    </row>
    <row r="101" spans="1:10">
      <c r="A101" s="244">
        <v>102</v>
      </c>
      <c r="B101" s="248" t="s">
        <v>129</v>
      </c>
      <c r="C101" s="254">
        <v>57.718969282142801</v>
      </c>
      <c r="D101" s="254">
        <v>59.019129097094108</v>
      </c>
      <c r="E101" s="254">
        <v>53.302647031797818</v>
      </c>
      <c r="F101" s="254">
        <v>115.91048691574687</v>
      </c>
      <c r="G101" s="254">
        <v>801.19497780676011</v>
      </c>
      <c r="H101" s="254">
        <v>47397.691413903296</v>
      </c>
      <c r="I101" s="254">
        <v>25.490523588769388</v>
      </c>
      <c r="J101" s="254">
        <v>42.228306304130747</v>
      </c>
    </row>
    <row r="102" spans="1:10">
      <c r="A102" s="244">
        <v>103</v>
      </c>
      <c r="B102" s="248"/>
      <c r="C102" s="254"/>
      <c r="D102" s="254"/>
      <c r="E102" s="254"/>
      <c r="F102" s="254"/>
      <c r="G102" s="254"/>
      <c r="H102" s="254"/>
      <c r="I102" s="254"/>
      <c r="J102" s="254"/>
    </row>
    <row r="103" spans="1:10">
      <c r="A103" s="244">
        <v>104</v>
      </c>
      <c r="B103" s="252" t="s">
        <v>324</v>
      </c>
      <c r="C103" s="253">
        <v>1</v>
      </c>
      <c r="D103" s="253">
        <v>0.46286426915730594</v>
      </c>
      <c r="E103" s="253">
        <v>0.14518777012506354</v>
      </c>
      <c r="F103" s="253">
        <v>0.20051859955055445</v>
      </c>
      <c r="G103" s="253">
        <v>7.9534918725370468E-2</v>
      </c>
      <c r="H103" s="253">
        <v>6.5215071276073525E-2</v>
      </c>
      <c r="I103" s="253">
        <v>4.4454987389806459E-2</v>
      </c>
      <c r="J103" s="253">
        <v>2.224383775824226E-3</v>
      </c>
    </row>
    <row r="104" spans="1:10">
      <c r="A104" s="244">
        <v>105</v>
      </c>
      <c r="B104" s="248" t="s">
        <v>127</v>
      </c>
      <c r="C104" s="247">
        <v>11200017.437180657</v>
      </c>
      <c r="D104" s="247">
        <v>5184087.8856097106</v>
      </c>
      <c r="E104" s="247">
        <v>1626105.5570660897</v>
      </c>
      <c r="F104" s="247">
        <v>2245811.8114452567</v>
      </c>
      <c r="G104" s="247">
        <v>890792.47658889624</v>
      </c>
      <c r="H104" s="247">
        <v>730409.93545900367</v>
      </c>
      <c r="I104" s="247">
        <v>497896.63393547898</v>
      </c>
      <c r="J104" s="247">
        <v>24913.137076213094</v>
      </c>
    </row>
    <row r="105" spans="1:10">
      <c r="A105" s="244">
        <v>106</v>
      </c>
      <c r="B105" s="248" t="s">
        <v>322</v>
      </c>
      <c r="C105" s="254">
        <v>0.60822225868523527</v>
      </c>
      <c r="D105" s="254">
        <v>0.43531476745922298</v>
      </c>
      <c r="E105" s="254">
        <v>0.76827337056517453</v>
      </c>
      <c r="F105" s="254">
        <v>0.96847303854438371</v>
      </c>
      <c r="G105" s="254">
        <v>1.0367187172438015</v>
      </c>
      <c r="H105" s="254">
        <v>1.1240534556155797</v>
      </c>
      <c r="I105" s="254">
        <v>0.95030884700360685</v>
      </c>
      <c r="J105" s="254">
        <v>0.67227052010728205</v>
      </c>
    </row>
    <row r="106" spans="1:10">
      <c r="A106" s="244">
        <v>107</v>
      </c>
      <c r="B106" s="248" t="s">
        <v>128</v>
      </c>
      <c r="C106" s="255">
        <v>2.7783791052422746E-3</v>
      </c>
      <c r="D106" s="255">
        <v>3.4000301467104871E-3</v>
      </c>
      <c r="E106" s="255">
        <v>2.9312977285398242E-3</v>
      </c>
      <c r="F106" s="255">
        <v>2.3621692916201051E-3</v>
      </c>
      <c r="G106" s="255">
        <v>2.2111454040513981E-3</v>
      </c>
      <c r="H106" s="255">
        <v>1.7358388912995194E-3</v>
      </c>
      <c r="I106" s="255">
        <v>3.0212944775344351E-3</v>
      </c>
      <c r="J106" s="255">
        <v>1.9942632613332502E-3</v>
      </c>
    </row>
    <row r="107" spans="1:10">
      <c r="A107" s="244">
        <v>108</v>
      </c>
      <c r="B107" s="248" t="s">
        <v>129</v>
      </c>
      <c r="C107" s="254">
        <v>81.830019544874474</v>
      </c>
      <c r="D107" s="254">
        <v>48.094462446336948</v>
      </c>
      <c r="E107" s="254">
        <v>81.596411583267013</v>
      </c>
      <c r="F107" s="254">
        <v>2086.9648042217032</v>
      </c>
      <c r="G107" s="254">
        <v>13815.604148717455</v>
      </c>
      <c r="H107" s="254">
        <v>730409.93545900367</v>
      </c>
      <c r="I107" s="254">
        <v>96.948217703552601</v>
      </c>
      <c r="J107" s="254">
        <v>8.6694596019764845</v>
      </c>
    </row>
  </sheetData>
  <mergeCells count="4">
    <mergeCell ref="B3:J3"/>
    <mergeCell ref="B4:J4"/>
    <mergeCell ref="B5:J5"/>
    <mergeCell ref="B6:J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BD019C-BF2F-407A-B787-CA3B515ACA75}"/>
</file>

<file path=customXml/itemProps2.xml><?xml version="1.0" encoding="utf-8"?>
<ds:datastoreItem xmlns:ds="http://schemas.openxmlformats.org/officeDocument/2006/customXml" ds:itemID="{3888253B-495A-4344-AEE5-125A760E73D2}"/>
</file>

<file path=customXml/itemProps3.xml><?xml version="1.0" encoding="utf-8"?>
<ds:datastoreItem xmlns:ds="http://schemas.openxmlformats.org/officeDocument/2006/customXml" ds:itemID="{A82D0E70-978A-4CCF-9FF9-4C6C3440537A}"/>
</file>

<file path=customXml/itemProps4.xml><?xml version="1.0" encoding="utf-8"?>
<ds:datastoreItem xmlns:ds="http://schemas.openxmlformats.org/officeDocument/2006/customXml" ds:itemID="{2C3049E6-3CE2-4793-8C4A-16C53B600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Install Cst (Exsting Pole) pg 1</vt:lpstr>
      <vt:lpstr>Maintenance Assumptions pg 2</vt:lpstr>
      <vt:lpstr>LED Lighting kWh pg 3</vt:lpstr>
      <vt:lpstr>Cost Analysis pg 4</vt:lpstr>
      <vt:lpstr>Price Summary pg 5,6</vt:lpstr>
      <vt:lpstr>Consoldted Proposed Prices pg 7</vt:lpstr>
      <vt:lpstr>BACKUP&gt;&gt;&gt;</vt:lpstr>
      <vt:lpstr>Unit Costs</vt:lpstr>
      <vt:lpstr>Unit Costs wo fixture cost</vt:lpstr>
      <vt:lpstr>SL Blocking</vt:lpstr>
      <vt:lpstr>Area Light Composition</vt:lpstr>
      <vt:lpstr>'Consoldted Proposed Prices pg 7'!Print_Area</vt:lpstr>
      <vt:lpstr>'Price Summary pg 5,6'!Print_Area</vt:lpstr>
      <vt:lpstr>'Price Summary pg 5,6'!Print_Titles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