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2.bin" ContentType="application/vnd.openxmlformats-officedocument.spreadsheetml.customProperty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8.bin" ContentType="application/vnd.openxmlformats-officedocument.spreadsheetml.customProperty"/>
  <Override PartName="/xl/customProperty11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3.bin" ContentType="application/vnd.openxmlformats-officedocument.spreadsheetml.customProperty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9.xml" ContentType="application/vnd.openxmlformats-officedocument.spreadsheetml.externalLink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x WA Reg\___2021 WA Rate Case\Workpapers\Non-CONF\McCoy\"/>
    </mc:Choice>
  </mc:AlternateContent>
  <bookViews>
    <workbookView xWindow="495" yWindow="45" windowWidth="16365" windowHeight="10770" tabRatio="762"/>
  </bookViews>
  <sheets>
    <sheet name="Summary" sheetId="4" r:id="rId1"/>
    <sheet name="Total Adj" sheetId="13" r:id="rId2"/>
    <sheet name="Restating Adj" sheetId="1" r:id="rId3"/>
    <sheet name="Pro Forma Adj" sheetId="17" r:id="rId4"/>
    <sheet name="Interest Calc" sheetId="7" r:id="rId5"/>
    <sheet name="Variables" sheetId="3" r:id="rId6"/>
    <sheet name="Check Sheet" sheetId="5" r:id="rId7"/>
    <sheet name="Exhibit No. SEM-7 pg 1" sheetId="16" r:id="rId8"/>
    <sheet name="Exhibit No. SEM-7 pg 2 - 3" sheetId="15" r:id="rId9"/>
    <sheet name="Page 1.4" sheetId="12" r:id="rId10"/>
    <sheet name="Page 1.5" sheetId="10" r:id="rId11"/>
    <sheet name="Page 1.6" sheetId="1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</externalReferences>
  <definedNames>
    <definedName name="Cost_Debt">Variables!$D$8</definedName>
    <definedName name="Cost_equity">Variables!$D$10</definedName>
    <definedName name="Cost_pref">Variables!$D$9</definedName>
    <definedName name="gross_up_factor">Variables!$D$34</definedName>
    <definedName name="Overall_ROR">Variables!$E$11</definedName>
    <definedName name="Percent_common">Variables!$C$10</definedName>
    <definedName name="Percent_debt">Variables!$C$8</definedName>
    <definedName name="Percent_pref">Variables!$C$9</definedName>
    <definedName name="_xlnm.Print_Area" localSheetId="7">'Exhibit No. SEM-7 pg 1'!$A$1:$G$88</definedName>
    <definedName name="_xlnm.Print_Area" localSheetId="8">'Exhibit No. SEM-7 pg 2 - 3'!$A$1:$O$83</definedName>
    <definedName name="_xlnm.Print_Area" localSheetId="9">'Page 1.4'!$A$1:$J$80</definedName>
    <definedName name="_xlnm.Print_Area" localSheetId="10">'Page 1.5'!$A$1:$J$80</definedName>
    <definedName name="_xlnm.Print_Area" localSheetId="11">'Page 1.6'!$A$1:$J$80</definedName>
    <definedName name="_xlnm.Print_Area" localSheetId="3">'Pro Forma Adj'!$A$7:$BG$87</definedName>
    <definedName name="_xlnm.Print_Area" localSheetId="2">'Restating Adj'!$A$7:$BG$87</definedName>
    <definedName name="_xlnm.Print_Area" localSheetId="1">'Total Adj'!$B$7:$BG$87</definedName>
    <definedName name="_xlnm.Print_Titles" localSheetId="8">'Exhibit No. SEM-7 pg 2 - 3'!$A:$B,'Exhibit No. SEM-7 pg 2 - 3'!$1:$4</definedName>
    <definedName name="_xlnm.Print_Titles" localSheetId="3">'Pro Forma Adj'!$A:$A</definedName>
    <definedName name="_xlnm.Print_Titles" localSheetId="2">'Restating Adj'!$A:$A</definedName>
    <definedName name="_xlnm.Print_Titles" localSheetId="1">'Total Adj'!$A:$A,'Total Adj'!$1:$4</definedName>
    <definedName name="Restated_Op_revenue">Summary!$F$37</definedName>
    <definedName name="Restated_rate_base">Summary!$F$64</definedName>
    <definedName name="Restated_ROE">Summary!$F$67</definedName>
    <definedName name="Unadj_Op_revenue">Summary!$B$37</definedName>
    <definedName name="Unadj_rate_base">Summary!$B$64</definedName>
    <definedName name="Unadj_ROE">Summary!$B$67</definedName>
    <definedName name="uncollectible_perc">Variables!$D$20</definedName>
    <definedName name="WA_rev_tax_perc">Variables!$D$22</definedName>
    <definedName name="Weighted_cost_debt">Variables!$E$8</definedName>
    <definedName name="Weighted_cost_equity">Variables!$E$10</definedName>
    <definedName name="Weighted_cost_pref">Variables!$E$9</definedName>
    <definedName name="WUTC_reg_fee_perc">Variables!$D$21</definedName>
  </definedNames>
  <calcPr calcId="152511"/>
</workbook>
</file>

<file path=xl/calcChain.xml><?xml version="1.0" encoding="utf-8"?>
<calcChain xmlns="http://schemas.openxmlformats.org/spreadsheetml/2006/main">
  <c r="I79" i="11" l="1"/>
  <c r="I72" i="11"/>
  <c r="I71" i="11"/>
  <c r="I70" i="11"/>
  <c r="I69" i="11"/>
  <c r="I68" i="11"/>
  <c r="I57" i="11"/>
  <c r="I56" i="11"/>
  <c r="I55" i="11"/>
  <c r="I54" i="11"/>
  <c r="I53" i="11"/>
  <c r="I52" i="11"/>
  <c r="I51" i="11"/>
  <c r="I47" i="11"/>
  <c r="I46" i="11"/>
  <c r="I45" i="11"/>
  <c r="I44" i="11"/>
  <c r="I43" i="11"/>
  <c r="I42" i="11"/>
  <c r="I41" i="11"/>
  <c r="I40" i="11"/>
  <c r="I39" i="11"/>
  <c r="I38" i="11"/>
  <c r="I37" i="11"/>
  <c r="I31" i="11"/>
  <c r="I30" i="11"/>
  <c r="I29" i="11"/>
  <c r="I26" i="11"/>
  <c r="I25" i="11"/>
  <c r="I24" i="11"/>
  <c r="I22" i="11"/>
  <c r="I21" i="11"/>
  <c r="I20" i="11"/>
  <c r="I19" i="11"/>
  <c r="I18" i="11"/>
  <c r="I17" i="11"/>
  <c r="I16" i="11"/>
  <c r="I15" i="11"/>
  <c r="I14" i="11"/>
  <c r="I13" i="11"/>
  <c r="I9" i="11"/>
  <c r="I8" i="11"/>
  <c r="I7" i="11"/>
  <c r="I6" i="11"/>
  <c r="I79" i="10"/>
  <c r="I72" i="10"/>
  <c r="I71" i="10"/>
  <c r="I70" i="10"/>
  <c r="I69" i="10"/>
  <c r="I68" i="10"/>
  <c r="I57" i="10"/>
  <c r="I56" i="10"/>
  <c r="I55" i="10"/>
  <c r="I54" i="10"/>
  <c r="I53" i="10"/>
  <c r="I52" i="10"/>
  <c r="I51" i="10"/>
  <c r="I47" i="10"/>
  <c r="I46" i="10"/>
  <c r="I45" i="10"/>
  <c r="I44" i="10"/>
  <c r="I43" i="10"/>
  <c r="I42" i="10"/>
  <c r="I41" i="10"/>
  <c r="I40" i="10"/>
  <c r="I39" i="10"/>
  <c r="I38" i="10"/>
  <c r="I37" i="10"/>
  <c r="I31" i="10"/>
  <c r="I30" i="10"/>
  <c r="I29" i="10"/>
  <c r="I26" i="10"/>
  <c r="I25" i="10"/>
  <c r="I24" i="10"/>
  <c r="I22" i="10"/>
  <c r="I21" i="10"/>
  <c r="I20" i="10"/>
  <c r="I19" i="10"/>
  <c r="I18" i="10"/>
  <c r="I17" i="10"/>
  <c r="I16" i="10"/>
  <c r="I15" i="10"/>
  <c r="I14" i="10"/>
  <c r="I13" i="10"/>
  <c r="I9" i="10"/>
  <c r="I8" i="10"/>
  <c r="I7" i="10"/>
  <c r="I6" i="10"/>
  <c r="E60" i="16" a="1"/>
  <c r="E60" i="16" s="1"/>
  <c r="D74" i="16"/>
  <c r="D60" i="16" a="1"/>
  <c r="D60" i="16" s="1"/>
  <c r="C60" i="16" a="1"/>
  <c r="C60" i="16" s="1"/>
  <c r="B60" i="16" a="1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A74" i="16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I59" i="17"/>
  <c r="AI35" i="17"/>
  <c r="E70" i="16" l="1"/>
  <c r="E66" i="16"/>
  <c r="E62" i="16"/>
  <c r="E73" i="16"/>
  <c r="E69" i="16"/>
  <c r="E65" i="16"/>
  <c r="E61" i="16"/>
  <c r="E74" i="16" s="1"/>
  <c r="E71" i="16"/>
  <c r="E67" i="16"/>
  <c r="E63" i="16"/>
  <c r="E72" i="16"/>
  <c r="E68" i="16"/>
  <c r="E64" i="16"/>
  <c r="D71" i="16"/>
  <c r="D67" i="16"/>
  <c r="D63" i="16"/>
  <c r="D70" i="16"/>
  <c r="D66" i="16"/>
  <c r="D62" i="16"/>
  <c r="D73" i="16"/>
  <c r="D69" i="16"/>
  <c r="D65" i="16"/>
  <c r="D61" i="16"/>
  <c r="D72" i="16"/>
  <c r="D68" i="16"/>
  <c r="D64" i="16"/>
  <c r="C71" i="16"/>
  <c r="C67" i="16"/>
  <c r="C63" i="16"/>
  <c r="C70" i="16"/>
  <c r="C66" i="16"/>
  <c r="C62" i="16"/>
  <c r="C73" i="16"/>
  <c r="C69" i="16"/>
  <c r="C65" i="16"/>
  <c r="C61" i="16"/>
  <c r="C72" i="16"/>
  <c r="C68" i="16"/>
  <c r="C64" i="16"/>
  <c r="AB78" i="17"/>
  <c r="AB59" i="17"/>
  <c r="AB35" i="17"/>
  <c r="U23" i="17" l="1"/>
  <c r="U22" i="17"/>
  <c r="U19" i="17"/>
  <c r="U14" i="17"/>
  <c r="T22" i="1" l="1"/>
  <c r="BC86" i="13" l="1"/>
  <c r="BC79" i="13"/>
  <c r="BC78" i="13"/>
  <c r="BC77" i="13"/>
  <c r="BC76" i="13"/>
  <c r="BC75" i="13"/>
  <c r="BC64" i="13"/>
  <c r="BC63" i="13"/>
  <c r="BC62" i="13"/>
  <c r="BC61" i="13"/>
  <c r="BC60" i="13"/>
  <c r="BC59" i="13"/>
  <c r="BC58" i="13"/>
  <c r="BC57" i="13"/>
  <c r="BC53" i="13"/>
  <c r="BC52" i="13"/>
  <c r="BC51" i="13"/>
  <c r="BC50" i="13"/>
  <c r="BC49" i="13"/>
  <c r="BC48" i="13"/>
  <c r="BC47" i="13"/>
  <c r="BC46" i="13"/>
  <c r="BC45" i="13"/>
  <c r="BC44" i="13"/>
  <c r="BC43" i="13"/>
  <c r="BC54" i="13" s="1"/>
  <c r="BC37" i="13"/>
  <c r="BC36" i="13"/>
  <c r="BC35" i="13"/>
  <c r="BC34" i="13"/>
  <c r="BC32" i="13"/>
  <c r="BC31" i="13"/>
  <c r="BC30" i="13"/>
  <c r="BC28" i="13"/>
  <c r="BC27" i="13"/>
  <c r="BC26" i="13"/>
  <c r="BC25" i="13"/>
  <c r="BC24" i="13"/>
  <c r="BC23" i="13"/>
  <c r="BC22" i="13"/>
  <c r="BC21" i="13"/>
  <c r="BC20" i="13"/>
  <c r="BC19" i="13"/>
  <c r="BC29" i="13" s="1"/>
  <c r="BC15" i="13"/>
  <c r="BC14" i="13"/>
  <c r="BC13" i="13"/>
  <c r="BC12" i="13"/>
  <c r="BC16" i="13" s="1"/>
  <c r="BC9" i="13"/>
  <c r="BC8" i="13"/>
  <c r="BC65" i="17"/>
  <c r="BC54" i="17"/>
  <c r="BC29" i="17"/>
  <c r="BC16" i="17"/>
  <c r="BC9" i="17"/>
  <c r="BC8" i="17"/>
  <c r="BC65" i="1"/>
  <c r="BC54" i="1"/>
  <c r="BC67" i="1" s="1"/>
  <c r="BC29" i="1"/>
  <c r="BC16" i="1"/>
  <c r="BC65" i="13" l="1"/>
  <c r="BC67" i="13" s="1"/>
  <c r="BC74" i="13"/>
  <c r="BC80" i="13" s="1"/>
  <c r="BC83" i="13" s="1"/>
  <c r="BC85" i="13" s="1"/>
  <c r="BC87" i="13" s="1"/>
  <c r="BC93" i="13" s="1"/>
  <c r="BC67" i="17"/>
  <c r="BC74" i="17"/>
  <c r="BC80" i="17" s="1"/>
  <c r="BC83" i="17" s="1"/>
  <c r="BC85" i="17" s="1"/>
  <c r="BC87" i="17" s="1"/>
  <c r="BC33" i="17" s="1"/>
  <c r="BC38" i="1"/>
  <c r="BC40" i="1" s="1"/>
  <c r="BC74" i="1"/>
  <c r="BC80" i="1" s="1"/>
  <c r="BC83" i="1" s="1"/>
  <c r="BC85" i="1" s="1"/>
  <c r="BC87" i="1" s="1"/>
  <c r="BC33" i="1" s="1"/>
  <c r="BC38" i="17" l="1"/>
  <c r="BC40" i="17" s="1"/>
  <c r="BC33" i="13"/>
  <c r="BC38" i="13" s="1"/>
  <c r="BC40" i="13" s="1"/>
  <c r="AF86" i="17" l="1"/>
  <c r="W83" i="5" l="1"/>
  <c r="S83" i="5"/>
  <c r="O83" i="5"/>
  <c r="K83" i="5"/>
  <c r="G83" i="5"/>
  <c r="C83" i="5"/>
  <c r="W79" i="5"/>
  <c r="W76" i="5"/>
  <c r="W74" i="5"/>
  <c r="W73" i="5"/>
  <c r="W72" i="5"/>
  <c r="W71" i="5"/>
  <c r="W70" i="5"/>
  <c r="W64" i="5"/>
  <c r="W62" i="5"/>
  <c r="W61" i="5"/>
  <c r="W60" i="5"/>
  <c r="W59" i="5"/>
  <c r="W58" i="5"/>
  <c r="W57" i="5"/>
  <c r="W56" i="5"/>
  <c r="W55" i="5"/>
  <c r="W54" i="5"/>
  <c r="W51" i="5"/>
  <c r="W50" i="5"/>
  <c r="W49" i="5"/>
  <c r="W48" i="5"/>
  <c r="W47" i="5"/>
  <c r="W46" i="5"/>
  <c r="W45" i="5"/>
  <c r="W44" i="5"/>
  <c r="W43" i="5"/>
  <c r="W42" i="5"/>
  <c r="W41" i="5"/>
  <c r="W40" i="5"/>
  <c r="W37" i="5"/>
  <c r="W35" i="5"/>
  <c r="W34" i="5"/>
  <c r="W33" i="5"/>
  <c r="W32" i="5"/>
  <c r="W31" i="5"/>
  <c r="W30" i="5"/>
  <c r="W29" i="5"/>
  <c r="W28" i="5"/>
  <c r="W27" i="5"/>
  <c r="W25" i="5"/>
  <c r="W24" i="5"/>
  <c r="W23" i="5"/>
  <c r="W22" i="5"/>
  <c r="W21" i="5"/>
  <c r="W20" i="5"/>
  <c r="W19" i="5"/>
  <c r="W18" i="5"/>
  <c r="W17" i="5"/>
  <c r="W16" i="5"/>
  <c r="W12" i="5"/>
  <c r="W11" i="5"/>
  <c r="W10" i="5"/>
  <c r="W9" i="5"/>
  <c r="S79" i="5"/>
  <c r="S78" i="5"/>
  <c r="S76" i="5"/>
  <c r="S75" i="5"/>
  <c r="S74" i="5"/>
  <c r="S73" i="5"/>
  <c r="S72" i="5"/>
  <c r="S71" i="5"/>
  <c r="S70" i="5"/>
  <c r="S67" i="5"/>
  <c r="S64" i="5"/>
  <c r="S62" i="5"/>
  <c r="S61" i="5"/>
  <c r="S60" i="5"/>
  <c r="S59" i="5"/>
  <c r="S58" i="5"/>
  <c r="S57" i="5"/>
  <c r="S56" i="5"/>
  <c r="S55" i="5"/>
  <c r="S54" i="5"/>
  <c r="S51" i="5"/>
  <c r="S50" i="5"/>
  <c r="S49" i="5"/>
  <c r="S48" i="5"/>
  <c r="S47" i="5"/>
  <c r="S46" i="5"/>
  <c r="S45" i="5"/>
  <c r="S44" i="5"/>
  <c r="S43" i="5"/>
  <c r="S42" i="5"/>
  <c r="S41" i="5"/>
  <c r="S40" i="5"/>
  <c r="S37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3" i="5"/>
  <c r="S12" i="5"/>
  <c r="S11" i="5"/>
  <c r="S10" i="5"/>
  <c r="S9" i="5"/>
  <c r="O79" i="5"/>
  <c r="O78" i="5"/>
  <c r="O76" i="5"/>
  <c r="O75" i="5"/>
  <c r="O74" i="5"/>
  <c r="O73" i="5"/>
  <c r="O72" i="5"/>
  <c r="O71" i="5"/>
  <c r="O70" i="5"/>
  <c r="O67" i="5"/>
  <c r="O64" i="5"/>
  <c r="O62" i="5"/>
  <c r="O61" i="5"/>
  <c r="O60" i="5"/>
  <c r="O59" i="5"/>
  <c r="O58" i="5"/>
  <c r="O57" i="5"/>
  <c r="O56" i="5"/>
  <c r="O55" i="5"/>
  <c r="O54" i="5"/>
  <c r="O51" i="5"/>
  <c r="O50" i="5"/>
  <c r="O49" i="5"/>
  <c r="O48" i="5"/>
  <c r="O47" i="5"/>
  <c r="O46" i="5"/>
  <c r="O45" i="5"/>
  <c r="O44" i="5"/>
  <c r="O43" i="5"/>
  <c r="O42" i="5"/>
  <c r="O41" i="5"/>
  <c r="O40" i="5"/>
  <c r="O37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3" i="5"/>
  <c r="O12" i="5"/>
  <c r="O11" i="5"/>
  <c r="O10" i="5"/>
  <c r="O9" i="5"/>
  <c r="K79" i="5"/>
  <c r="K78" i="5"/>
  <c r="K76" i="5"/>
  <c r="K75" i="5"/>
  <c r="K74" i="5"/>
  <c r="K73" i="5"/>
  <c r="K72" i="5"/>
  <c r="K71" i="5"/>
  <c r="K70" i="5"/>
  <c r="K67" i="5"/>
  <c r="K64" i="5"/>
  <c r="K62" i="5"/>
  <c r="K61" i="5"/>
  <c r="K60" i="5"/>
  <c r="K59" i="5"/>
  <c r="K58" i="5"/>
  <c r="K57" i="5"/>
  <c r="K56" i="5"/>
  <c r="K55" i="5"/>
  <c r="K54" i="5"/>
  <c r="K51" i="5"/>
  <c r="K50" i="5"/>
  <c r="K49" i="5"/>
  <c r="K48" i="5"/>
  <c r="K47" i="5"/>
  <c r="K46" i="5"/>
  <c r="K45" i="5"/>
  <c r="K44" i="5"/>
  <c r="K43" i="5"/>
  <c r="K42" i="5"/>
  <c r="K41" i="5"/>
  <c r="K40" i="5"/>
  <c r="K37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3" i="5"/>
  <c r="K12" i="5"/>
  <c r="K11" i="5"/>
  <c r="K10" i="5"/>
  <c r="K9" i="5"/>
  <c r="G79" i="5"/>
  <c r="G78" i="5"/>
  <c r="G76" i="5"/>
  <c r="G75" i="5"/>
  <c r="G74" i="5"/>
  <c r="G73" i="5"/>
  <c r="G72" i="5"/>
  <c r="G71" i="5"/>
  <c r="G70" i="5"/>
  <c r="G67" i="5"/>
  <c r="G64" i="5"/>
  <c r="G62" i="5"/>
  <c r="G61" i="5"/>
  <c r="G60" i="5"/>
  <c r="G59" i="5"/>
  <c r="G58" i="5"/>
  <c r="G57" i="5"/>
  <c r="G56" i="5"/>
  <c r="G55" i="5"/>
  <c r="G54" i="5"/>
  <c r="G51" i="5"/>
  <c r="G50" i="5"/>
  <c r="G49" i="5"/>
  <c r="G48" i="5"/>
  <c r="G47" i="5"/>
  <c r="G46" i="5"/>
  <c r="G45" i="5"/>
  <c r="G44" i="5"/>
  <c r="G43" i="5"/>
  <c r="G42" i="5"/>
  <c r="G41" i="5"/>
  <c r="G40" i="5"/>
  <c r="G37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3" i="5"/>
  <c r="G12" i="5"/>
  <c r="G11" i="5"/>
  <c r="G10" i="5"/>
  <c r="G9" i="5"/>
  <c r="C79" i="5"/>
  <c r="C78" i="5"/>
  <c r="C76" i="5"/>
  <c r="C75" i="5"/>
  <c r="C74" i="5"/>
  <c r="C73" i="5"/>
  <c r="C72" i="5"/>
  <c r="C71" i="5"/>
  <c r="C70" i="5"/>
  <c r="C67" i="5"/>
  <c r="C64" i="5"/>
  <c r="C62" i="5"/>
  <c r="C61" i="5"/>
  <c r="C60" i="5"/>
  <c r="C59" i="5"/>
  <c r="C58" i="5"/>
  <c r="C57" i="5"/>
  <c r="C56" i="5"/>
  <c r="C55" i="5"/>
  <c r="C54" i="5"/>
  <c r="C51" i="5"/>
  <c r="C50" i="5"/>
  <c r="C49" i="5"/>
  <c r="C48" i="5"/>
  <c r="C47" i="5"/>
  <c r="C46" i="5"/>
  <c r="C45" i="5"/>
  <c r="C44" i="5"/>
  <c r="C43" i="5"/>
  <c r="C42" i="5"/>
  <c r="C41" i="5"/>
  <c r="C40" i="5"/>
  <c r="C37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3" i="5"/>
  <c r="C12" i="5"/>
  <c r="C11" i="5"/>
  <c r="C10" i="5"/>
  <c r="C9" i="5"/>
  <c r="B84" i="4"/>
  <c r="B76" i="4"/>
  <c r="B75" i="4"/>
  <c r="B74" i="4"/>
  <c r="B73" i="4"/>
  <c r="B72" i="4"/>
  <c r="B60" i="4"/>
  <c r="B59" i="4"/>
  <c r="B58" i="4"/>
  <c r="B57" i="4"/>
  <c r="B56" i="4"/>
  <c r="B55" i="4"/>
  <c r="B54" i="4"/>
  <c r="B50" i="4"/>
  <c r="B49" i="4"/>
  <c r="B48" i="4"/>
  <c r="B47" i="4"/>
  <c r="B46" i="4"/>
  <c r="B45" i="4"/>
  <c r="B44" i="4"/>
  <c r="B43" i="4"/>
  <c r="B42" i="4"/>
  <c r="B41" i="4"/>
  <c r="B40" i="4"/>
  <c r="B34" i="4"/>
  <c r="B33" i="4"/>
  <c r="B32" i="4"/>
  <c r="B31" i="4"/>
  <c r="B30" i="4"/>
  <c r="B29" i="4"/>
  <c r="B28" i="4"/>
  <c r="B27" i="4"/>
  <c r="B25" i="4"/>
  <c r="B24" i="4"/>
  <c r="B23" i="4"/>
  <c r="B22" i="4"/>
  <c r="B21" i="4"/>
  <c r="B20" i="4"/>
  <c r="B19" i="4"/>
  <c r="B18" i="4"/>
  <c r="B17" i="4"/>
  <c r="B16" i="4"/>
  <c r="B12" i="4"/>
  <c r="B11" i="4"/>
  <c r="B10" i="4"/>
  <c r="B9" i="4"/>
  <c r="D24" i="3"/>
  <c r="D23" i="3"/>
  <c r="D22" i="3"/>
  <c r="D21" i="3"/>
  <c r="D20" i="3"/>
  <c r="D10" i="3"/>
  <c r="C10" i="3"/>
  <c r="D9" i="3"/>
  <c r="C9" i="3"/>
  <c r="D8" i="3"/>
  <c r="C8" i="3"/>
  <c r="AH79" i="17"/>
  <c r="AH78" i="17"/>
  <c r="Z58" i="17"/>
  <c r="Z57" i="17"/>
  <c r="AS43" i="17"/>
  <c r="AS79" i="17"/>
  <c r="AS78" i="17"/>
  <c r="AS59" i="17"/>
  <c r="AS35" i="17"/>
  <c r="AO79" i="17"/>
  <c r="AO78" i="17"/>
  <c r="AO59" i="17"/>
  <c r="AO35" i="17"/>
  <c r="AM32" i="17"/>
  <c r="AL32" i="17"/>
  <c r="AE32" i="17"/>
  <c r="BF79" i="17"/>
  <c r="BF78" i="17"/>
  <c r="BF59" i="17"/>
  <c r="BF57" i="17"/>
  <c r="BF43" i="17"/>
  <c r="BF35" i="17"/>
  <c r="BF30" i="17"/>
  <c r="BA79" i="17"/>
  <c r="BA78" i="17"/>
  <c r="BA59" i="17"/>
  <c r="BA57" i="17"/>
  <c r="BA43" i="17"/>
  <c r="BA35" i="17"/>
  <c r="BA30" i="17"/>
  <c r="AU79" i="17"/>
  <c r="AU43" i="17"/>
  <c r="AU30" i="17"/>
  <c r="AB57" i="17"/>
  <c r="AB30" i="17"/>
  <c r="Y31" i="17"/>
  <c r="Y30" i="17"/>
  <c r="BB79" i="17"/>
  <c r="BB78" i="17"/>
  <c r="BB59" i="17"/>
  <c r="BB57" i="17"/>
  <c r="BB43" i="17"/>
  <c r="BB35" i="17"/>
  <c r="BB30" i="17"/>
  <c r="BB22" i="17"/>
  <c r="X79" i="17"/>
  <c r="X78" i="17"/>
  <c r="X59" i="17"/>
  <c r="X58" i="17"/>
  <c r="X43" i="17"/>
  <c r="X35" i="17"/>
  <c r="X31" i="17"/>
  <c r="X22" i="17"/>
  <c r="W22" i="17"/>
  <c r="BE58" i="17"/>
  <c r="BE57" i="17"/>
  <c r="BE43" i="17"/>
  <c r="BE31" i="17"/>
  <c r="BE30" i="17"/>
  <c r="BE79" i="17"/>
  <c r="BE78" i="17"/>
  <c r="BE59" i="17"/>
  <c r="BE35" i="17"/>
  <c r="BE22" i="17"/>
  <c r="BE21" i="17"/>
  <c r="BE19" i="17"/>
  <c r="AC58" i="17"/>
  <c r="AC31" i="17"/>
  <c r="AC78" i="17"/>
  <c r="AC59" i="17"/>
  <c r="AC57" i="17"/>
  <c r="AC35" i="17"/>
  <c r="AC30" i="17"/>
  <c r="AC28" i="17"/>
  <c r="AC26" i="17"/>
  <c r="AC25" i="17"/>
  <c r="AC24" i="17"/>
  <c r="AC23" i="17"/>
  <c r="AC22" i="17"/>
  <c r="AC21" i="17"/>
  <c r="AC19" i="17"/>
  <c r="BG59" i="17"/>
  <c r="BG57" i="17"/>
  <c r="BG43" i="17"/>
  <c r="BG30" i="17"/>
  <c r="BG23" i="17"/>
  <c r="BG15" i="17"/>
  <c r="O25" i="17"/>
  <c r="O15" i="17"/>
  <c r="F15" i="17"/>
  <c r="BD79" i="17"/>
  <c r="BD78" i="17"/>
  <c r="BD59" i="17"/>
  <c r="BD57" i="17"/>
  <c r="BD43" i="17"/>
  <c r="BD35" i="17"/>
  <c r="BD30" i="17"/>
  <c r="BD23" i="17"/>
  <c r="BD22" i="17"/>
  <c r="BD19" i="17"/>
  <c r="BD15" i="17"/>
  <c r="BD14" i="17"/>
  <c r="AQ78" i="17"/>
  <c r="AQ63" i="17"/>
  <c r="AQ59" i="17"/>
  <c r="AQ45" i="17"/>
  <c r="AQ35" i="17"/>
  <c r="AQ31" i="17"/>
  <c r="AQ22" i="17"/>
  <c r="AQ15" i="17"/>
  <c r="AQ12" i="17"/>
  <c r="AK76" i="1"/>
  <c r="AR61" i="1"/>
  <c r="AG59" i="17"/>
  <c r="AG59" i="1"/>
  <c r="AA58" i="1"/>
  <c r="AA57" i="1"/>
  <c r="AW51" i="1"/>
  <c r="AT63" i="1"/>
  <c r="AT51" i="1"/>
  <c r="AT50" i="1"/>
  <c r="AT49" i="1"/>
  <c r="AT48" i="1"/>
  <c r="AT45" i="1"/>
  <c r="AZ57" i="1"/>
  <c r="AZ43" i="1"/>
  <c r="AY43" i="1"/>
  <c r="AX59" i="17"/>
  <c r="AX57" i="17"/>
  <c r="AX43" i="17"/>
  <c r="AX59" i="1"/>
  <c r="AX57" i="1"/>
  <c r="AX43" i="1"/>
  <c r="AP57" i="17"/>
  <c r="AP45" i="17"/>
  <c r="AP43" i="17"/>
  <c r="AP57" i="1"/>
  <c r="AP45" i="1"/>
  <c r="AP43" i="1"/>
  <c r="AV62" i="1"/>
  <c r="AV37" i="1"/>
  <c r="AN63" i="1"/>
  <c r="AN59" i="1"/>
  <c r="AN35" i="1"/>
  <c r="AJ32" i="1"/>
  <c r="S28" i="17"/>
  <c r="S28" i="1"/>
  <c r="R28" i="1"/>
  <c r="Q79" i="1"/>
  <c r="Q78" i="1"/>
  <c r="Q59" i="1"/>
  <c r="Q35" i="1"/>
  <c r="Q28" i="1"/>
  <c r="L28" i="1"/>
  <c r="K28" i="1"/>
  <c r="K26" i="1"/>
  <c r="M25" i="1"/>
  <c r="T23" i="1"/>
  <c r="N28" i="1"/>
  <c r="N25" i="1"/>
  <c r="N24" i="1"/>
  <c r="N22" i="1"/>
  <c r="J28" i="17"/>
  <c r="J28" i="1"/>
  <c r="J24" i="1"/>
  <c r="J23" i="1"/>
  <c r="J22" i="1"/>
  <c r="G37" i="1"/>
  <c r="G30" i="1"/>
  <c r="G28" i="1"/>
  <c r="G26" i="1"/>
  <c r="G25" i="1"/>
  <c r="G22" i="1"/>
  <c r="V79" i="1"/>
  <c r="V78" i="1"/>
  <c r="V59" i="1"/>
  <c r="V57" i="1"/>
  <c r="V43" i="1"/>
  <c r="V35" i="1"/>
  <c r="V32" i="1"/>
  <c r="V28" i="1"/>
  <c r="V19" i="1"/>
  <c r="I28" i="17"/>
  <c r="I26" i="17"/>
  <c r="I25" i="17"/>
  <c r="I24" i="17"/>
  <c r="I23" i="17"/>
  <c r="I22" i="17"/>
  <c r="I21" i="17"/>
  <c r="I19" i="17"/>
  <c r="H28" i="1"/>
  <c r="H26" i="1"/>
  <c r="H25" i="1"/>
  <c r="H24" i="1"/>
  <c r="H23" i="1"/>
  <c r="H22" i="1"/>
  <c r="H21" i="1"/>
  <c r="H19" i="1"/>
  <c r="E15" i="17"/>
  <c r="E15" i="1"/>
  <c r="P19" i="1"/>
  <c r="P12" i="1"/>
  <c r="D12" i="1"/>
  <c r="C12" i="1"/>
  <c r="Q55" i="15" l="1"/>
  <c r="Q54" i="15"/>
  <c r="Q41" i="15"/>
  <c r="Q40" i="15"/>
  <c r="Q38" i="15"/>
  <c r="J75" i="12" l="1"/>
  <c r="J28" i="12"/>
  <c r="J79" i="11"/>
  <c r="J79" i="12" s="1"/>
  <c r="J70" i="11"/>
  <c r="J70" i="12" s="1"/>
  <c r="J69" i="11"/>
  <c r="J68" i="11"/>
  <c r="J57" i="11"/>
  <c r="J56" i="11"/>
  <c r="J56" i="12" s="1"/>
  <c r="J55" i="11"/>
  <c r="J54" i="11"/>
  <c r="J52" i="11"/>
  <c r="J47" i="11"/>
  <c r="J46" i="11"/>
  <c r="J45" i="11"/>
  <c r="J44" i="11"/>
  <c r="J43" i="11"/>
  <c r="J42" i="11"/>
  <c r="J41" i="11"/>
  <c r="J40" i="11"/>
  <c r="J39" i="11"/>
  <c r="J38" i="11"/>
  <c r="J31" i="11"/>
  <c r="J30" i="11"/>
  <c r="J28" i="11"/>
  <c r="J26" i="11"/>
  <c r="J25" i="11"/>
  <c r="J22" i="11"/>
  <c r="J21" i="11"/>
  <c r="J20" i="11"/>
  <c r="J19" i="11"/>
  <c r="J18" i="11"/>
  <c r="J15" i="11"/>
  <c r="J15" i="12" s="1"/>
  <c r="J14" i="11"/>
  <c r="J7" i="11"/>
  <c r="J6" i="11"/>
  <c r="H79" i="11"/>
  <c r="H72" i="11"/>
  <c r="H71" i="11"/>
  <c r="H69" i="11"/>
  <c r="H68" i="11"/>
  <c r="H57" i="11"/>
  <c r="H56" i="11"/>
  <c r="H55" i="11"/>
  <c r="H54" i="11"/>
  <c r="H53" i="11"/>
  <c r="H52" i="11"/>
  <c r="H51" i="11"/>
  <c r="H47" i="11"/>
  <c r="H46" i="11"/>
  <c r="H45" i="11"/>
  <c r="H44" i="11"/>
  <c r="H43" i="11"/>
  <c r="H42" i="11"/>
  <c r="H41" i="11"/>
  <c r="H40" i="11"/>
  <c r="H39" i="11"/>
  <c r="H38" i="11"/>
  <c r="H37" i="11"/>
  <c r="H31" i="11"/>
  <c r="H30" i="11"/>
  <c r="H29" i="11"/>
  <c r="H28" i="11"/>
  <c r="H26" i="11"/>
  <c r="H25" i="11"/>
  <c r="H24" i="11"/>
  <c r="H22" i="11"/>
  <c r="H21" i="11"/>
  <c r="H20" i="11"/>
  <c r="H19" i="11"/>
  <c r="H18" i="11"/>
  <c r="H17" i="11"/>
  <c r="H16" i="11"/>
  <c r="H15" i="11"/>
  <c r="H14" i="11"/>
  <c r="H13" i="11"/>
  <c r="H9" i="11"/>
  <c r="H8" i="11"/>
  <c r="H7" i="11"/>
  <c r="H6" i="11"/>
  <c r="G79" i="11"/>
  <c r="G72" i="11"/>
  <c r="G71" i="11"/>
  <c r="G70" i="11"/>
  <c r="G69" i="11"/>
  <c r="G68" i="11"/>
  <c r="G57" i="11"/>
  <c r="G56" i="11"/>
  <c r="G55" i="11"/>
  <c r="G54" i="11"/>
  <c r="G53" i="11"/>
  <c r="G52" i="11"/>
  <c r="G51" i="11"/>
  <c r="G47" i="11"/>
  <c r="G46" i="11"/>
  <c r="G45" i="11"/>
  <c r="G44" i="11"/>
  <c r="G43" i="11"/>
  <c r="G42" i="11"/>
  <c r="G41" i="11"/>
  <c r="G40" i="11"/>
  <c r="G39" i="11"/>
  <c r="G38" i="11"/>
  <c r="G37" i="11"/>
  <c r="G31" i="11"/>
  <c r="G30" i="11"/>
  <c r="G29" i="11"/>
  <c r="G28" i="11"/>
  <c r="G26" i="11"/>
  <c r="G25" i="11"/>
  <c r="G24" i="11"/>
  <c r="G22" i="11"/>
  <c r="G21" i="11"/>
  <c r="G20" i="11"/>
  <c r="G19" i="11"/>
  <c r="G18" i="11"/>
  <c r="G17" i="11"/>
  <c r="G16" i="11"/>
  <c r="G15" i="11"/>
  <c r="G14" i="11"/>
  <c r="G13" i="11"/>
  <c r="G9" i="11"/>
  <c r="G8" i="11"/>
  <c r="G7" i="11"/>
  <c r="G6" i="11"/>
  <c r="F79" i="11"/>
  <c r="F72" i="11"/>
  <c r="F71" i="11"/>
  <c r="F70" i="11"/>
  <c r="F69" i="11"/>
  <c r="F68" i="11"/>
  <c r="F57" i="11"/>
  <c r="F56" i="11"/>
  <c r="F55" i="11"/>
  <c r="F54" i="11"/>
  <c r="F53" i="11"/>
  <c r="F52" i="11"/>
  <c r="F51" i="11"/>
  <c r="F47" i="11"/>
  <c r="F46" i="11"/>
  <c r="F45" i="11"/>
  <c r="F44" i="11"/>
  <c r="F43" i="11"/>
  <c r="F42" i="11"/>
  <c r="F41" i="11"/>
  <c r="F40" i="11"/>
  <c r="F39" i="11"/>
  <c r="F38" i="11"/>
  <c r="F37" i="11"/>
  <c r="F31" i="11"/>
  <c r="F30" i="11"/>
  <c r="F29" i="11"/>
  <c r="F28" i="11"/>
  <c r="F26" i="11"/>
  <c r="F25" i="11"/>
  <c r="F24" i="11"/>
  <c r="F22" i="11"/>
  <c r="F21" i="11"/>
  <c r="F20" i="11"/>
  <c r="F19" i="11"/>
  <c r="F18" i="11"/>
  <c r="F17" i="11"/>
  <c r="F16" i="11"/>
  <c r="F15" i="11"/>
  <c r="F14" i="11"/>
  <c r="F13" i="11"/>
  <c r="F9" i="11"/>
  <c r="F8" i="11"/>
  <c r="F7" i="11"/>
  <c r="F6" i="11"/>
  <c r="E79" i="11"/>
  <c r="E72" i="11"/>
  <c r="E71" i="11"/>
  <c r="E70" i="11"/>
  <c r="E69" i="11"/>
  <c r="E68" i="11"/>
  <c r="E57" i="11"/>
  <c r="E56" i="11"/>
  <c r="E55" i="11"/>
  <c r="E54" i="11"/>
  <c r="E53" i="11"/>
  <c r="E52" i="11"/>
  <c r="E51" i="11"/>
  <c r="E47" i="11"/>
  <c r="E46" i="11"/>
  <c r="E45" i="11"/>
  <c r="E44" i="11"/>
  <c r="E43" i="11"/>
  <c r="E42" i="11"/>
  <c r="E41" i="11"/>
  <c r="E40" i="11"/>
  <c r="E39" i="11"/>
  <c r="E38" i="11"/>
  <c r="E37" i="11"/>
  <c r="E31" i="11"/>
  <c r="E30" i="11"/>
  <c r="E29" i="11"/>
  <c r="E28" i="11"/>
  <c r="E26" i="11"/>
  <c r="E25" i="11"/>
  <c r="E24" i="11"/>
  <c r="E22" i="11"/>
  <c r="E21" i="11"/>
  <c r="E20" i="11"/>
  <c r="E19" i="11"/>
  <c r="E18" i="11"/>
  <c r="E17" i="11"/>
  <c r="E16" i="11"/>
  <c r="E15" i="11"/>
  <c r="E14" i="11"/>
  <c r="E13" i="11"/>
  <c r="E9" i="11"/>
  <c r="E8" i="11"/>
  <c r="E7" i="11"/>
  <c r="E6" i="11"/>
  <c r="D79" i="11"/>
  <c r="D72" i="11"/>
  <c r="D71" i="11"/>
  <c r="D70" i="11"/>
  <c r="D69" i="11"/>
  <c r="D68" i="11"/>
  <c r="D57" i="11"/>
  <c r="D56" i="11"/>
  <c r="D55" i="11"/>
  <c r="D54" i="11"/>
  <c r="D53" i="11"/>
  <c r="D52" i="11"/>
  <c r="D51" i="11"/>
  <c r="D47" i="11"/>
  <c r="D46" i="11"/>
  <c r="D45" i="11"/>
  <c r="D44" i="11"/>
  <c r="D43" i="11"/>
  <c r="D42" i="11"/>
  <c r="D41" i="11"/>
  <c r="D40" i="11"/>
  <c r="D39" i="11"/>
  <c r="D38" i="11"/>
  <c r="D37" i="11"/>
  <c r="D31" i="11"/>
  <c r="D30" i="11"/>
  <c r="D29" i="11"/>
  <c r="D28" i="11"/>
  <c r="D26" i="11"/>
  <c r="D25" i="11"/>
  <c r="D24" i="11"/>
  <c r="D22" i="11"/>
  <c r="D21" i="11"/>
  <c r="D20" i="11"/>
  <c r="D19" i="11"/>
  <c r="D18" i="11"/>
  <c r="D17" i="11"/>
  <c r="D16" i="11"/>
  <c r="D15" i="11"/>
  <c r="D14" i="11"/>
  <c r="D13" i="11"/>
  <c r="D9" i="11"/>
  <c r="D8" i="11"/>
  <c r="D7" i="11"/>
  <c r="D6" i="11"/>
  <c r="J72" i="10"/>
  <c r="J71" i="10"/>
  <c r="J70" i="10"/>
  <c r="J69" i="10"/>
  <c r="J68" i="10"/>
  <c r="J68" i="12" s="1"/>
  <c r="J57" i="10"/>
  <c r="J57" i="12" s="1"/>
  <c r="J56" i="10"/>
  <c r="J55" i="10"/>
  <c r="J54" i="10"/>
  <c r="J54" i="12" s="1"/>
  <c r="J53" i="10"/>
  <c r="J52" i="10"/>
  <c r="J51" i="10"/>
  <c r="J47" i="10"/>
  <c r="J47" i="12" s="1"/>
  <c r="J46" i="10"/>
  <c r="J45" i="10"/>
  <c r="J45" i="12" s="1"/>
  <c r="J44" i="10"/>
  <c r="J44" i="12" s="1"/>
  <c r="J43" i="10"/>
  <c r="J43" i="12" s="1"/>
  <c r="J42" i="10"/>
  <c r="J41" i="10"/>
  <c r="J41" i="12" s="1"/>
  <c r="J40" i="10"/>
  <c r="J40" i="12" s="1"/>
  <c r="J39" i="10"/>
  <c r="J39" i="12" s="1"/>
  <c r="J38" i="10"/>
  <c r="J37" i="10"/>
  <c r="J31" i="10"/>
  <c r="J31" i="12" s="1"/>
  <c r="J30" i="10"/>
  <c r="J30" i="12" s="1"/>
  <c r="J29" i="10"/>
  <c r="J28" i="10"/>
  <c r="J26" i="10"/>
  <c r="J25" i="10"/>
  <c r="J24" i="10"/>
  <c r="J22" i="10"/>
  <c r="J22" i="12" s="1"/>
  <c r="J21" i="10"/>
  <c r="J20" i="10"/>
  <c r="J19" i="10"/>
  <c r="J19" i="12" s="1"/>
  <c r="J18" i="10"/>
  <c r="J18" i="12" s="1"/>
  <c r="J17" i="10"/>
  <c r="J16" i="10"/>
  <c r="J15" i="10"/>
  <c r="J14" i="10"/>
  <c r="J13" i="10"/>
  <c r="J9" i="10"/>
  <c r="J8" i="10"/>
  <c r="J7" i="10"/>
  <c r="J7" i="12" s="1"/>
  <c r="J6" i="10"/>
  <c r="J6" i="12" s="1"/>
  <c r="H79" i="10"/>
  <c r="H72" i="10"/>
  <c r="H71" i="10"/>
  <c r="H69" i="10"/>
  <c r="H68" i="10"/>
  <c r="H57" i="10"/>
  <c r="H56" i="10"/>
  <c r="H55" i="10"/>
  <c r="H54" i="10"/>
  <c r="H53" i="10"/>
  <c r="H52" i="10"/>
  <c r="H51" i="10"/>
  <c r="H47" i="10"/>
  <c r="H46" i="10"/>
  <c r="H45" i="10"/>
  <c r="H44" i="10"/>
  <c r="H43" i="10"/>
  <c r="H42" i="10"/>
  <c r="H41" i="10"/>
  <c r="H40" i="10"/>
  <c r="H39" i="10"/>
  <c r="H38" i="10"/>
  <c r="H37" i="10"/>
  <c r="H31" i="10"/>
  <c r="H30" i="10"/>
  <c r="H29" i="10"/>
  <c r="H28" i="10"/>
  <c r="H26" i="10"/>
  <c r="H25" i="10"/>
  <c r="H24" i="10"/>
  <c r="H22" i="10"/>
  <c r="H21" i="10"/>
  <c r="H20" i="10"/>
  <c r="H19" i="10"/>
  <c r="H18" i="10"/>
  <c r="H17" i="10"/>
  <c r="H16" i="10"/>
  <c r="H15" i="10"/>
  <c r="H14" i="10"/>
  <c r="H13" i="10"/>
  <c r="H9" i="10"/>
  <c r="H8" i="10"/>
  <c r="H7" i="10"/>
  <c r="H6" i="10"/>
  <c r="G79" i="10"/>
  <c r="G72" i="10"/>
  <c r="G71" i="10"/>
  <c r="G70" i="10"/>
  <c r="G69" i="10"/>
  <c r="G68" i="10"/>
  <c r="G57" i="10"/>
  <c r="G56" i="10"/>
  <c r="G55" i="10"/>
  <c r="G54" i="10"/>
  <c r="G53" i="10"/>
  <c r="G52" i="10"/>
  <c r="G51" i="10"/>
  <c r="G47" i="10"/>
  <c r="G46" i="10"/>
  <c r="G45" i="10"/>
  <c r="G44" i="10"/>
  <c r="G43" i="10"/>
  <c r="G42" i="10"/>
  <c r="G41" i="10"/>
  <c r="G40" i="10"/>
  <c r="G39" i="10"/>
  <c r="G38" i="10"/>
  <c r="G37" i="10"/>
  <c r="G31" i="10"/>
  <c r="G30" i="10"/>
  <c r="G29" i="10"/>
  <c r="G28" i="10"/>
  <c r="G26" i="10"/>
  <c r="G25" i="10"/>
  <c r="G24" i="10"/>
  <c r="G22" i="10"/>
  <c r="G21" i="10"/>
  <c r="G20" i="10"/>
  <c r="G19" i="10"/>
  <c r="G18" i="10"/>
  <c r="G17" i="10"/>
  <c r="G16" i="10"/>
  <c r="G15" i="10"/>
  <c r="G14" i="10"/>
  <c r="G13" i="10"/>
  <c r="G9" i="10"/>
  <c r="G8" i="10"/>
  <c r="G7" i="10"/>
  <c r="G6" i="10"/>
  <c r="F79" i="10"/>
  <c r="F72" i="10"/>
  <c r="F71" i="10"/>
  <c r="F70" i="10"/>
  <c r="F69" i="10"/>
  <c r="F68" i="10"/>
  <c r="F57" i="10"/>
  <c r="F56" i="10"/>
  <c r="F55" i="10"/>
  <c r="F54" i="10"/>
  <c r="F53" i="10"/>
  <c r="F52" i="10"/>
  <c r="F51" i="10"/>
  <c r="F47" i="10"/>
  <c r="F46" i="10"/>
  <c r="F45" i="10"/>
  <c r="F44" i="10"/>
  <c r="F43" i="10"/>
  <c r="F42" i="10"/>
  <c r="F41" i="10"/>
  <c r="F40" i="10"/>
  <c r="F39" i="10"/>
  <c r="F38" i="10"/>
  <c r="F37" i="10"/>
  <c r="F31" i="10"/>
  <c r="F30" i="10"/>
  <c r="F29" i="10"/>
  <c r="F28" i="10"/>
  <c r="F26" i="10"/>
  <c r="F25" i="10"/>
  <c r="F24" i="10"/>
  <c r="F22" i="10"/>
  <c r="F21" i="10"/>
  <c r="F20" i="10"/>
  <c r="F19" i="10"/>
  <c r="F18" i="10"/>
  <c r="F17" i="10"/>
  <c r="F16" i="10"/>
  <c r="F15" i="10"/>
  <c r="F14" i="10"/>
  <c r="F13" i="10"/>
  <c r="F9" i="10"/>
  <c r="F8" i="10"/>
  <c r="F7" i="10"/>
  <c r="F6" i="10"/>
  <c r="E72" i="10"/>
  <c r="E71" i="10"/>
  <c r="E70" i="10"/>
  <c r="E69" i="10"/>
  <c r="E68" i="10"/>
  <c r="E57" i="10"/>
  <c r="E56" i="10"/>
  <c r="E55" i="10"/>
  <c r="E54" i="10"/>
  <c r="E53" i="10"/>
  <c r="E52" i="10"/>
  <c r="E51" i="10"/>
  <c r="E47" i="10"/>
  <c r="E46" i="10"/>
  <c r="E45" i="10"/>
  <c r="E44" i="10"/>
  <c r="E43" i="10"/>
  <c r="E42" i="10"/>
  <c r="E41" i="10"/>
  <c r="E40" i="10"/>
  <c r="E39" i="10"/>
  <c r="E38" i="10"/>
  <c r="E37" i="10"/>
  <c r="E31" i="10"/>
  <c r="E30" i="10"/>
  <c r="E29" i="10"/>
  <c r="E28" i="10"/>
  <c r="E26" i="10"/>
  <c r="E25" i="10"/>
  <c r="E24" i="10"/>
  <c r="E22" i="10"/>
  <c r="E21" i="10"/>
  <c r="E20" i="10"/>
  <c r="E19" i="10"/>
  <c r="E18" i="10"/>
  <c r="E17" i="10"/>
  <c r="E16" i="10"/>
  <c r="E15" i="10"/>
  <c r="E14" i="10"/>
  <c r="E13" i="10"/>
  <c r="E9" i="10"/>
  <c r="E8" i="10"/>
  <c r="E7" i="10"/>
  <c r="E6" i="10"/>
  <c r="D79" i="10"/>
  <c r="D72" i="10"/>
  <c r="D71" i="10"/>
  <c r="D70" i="10"/>
  <c r="D69" i="10"/>
  <c r="D68" i="10"/>
  <c r="D57" i="10"/>
  <c r="D56" i="10"/>
  <c r="D55" i="10"/>
  <c r="D54" i="10"/>
  <c r="D53" i="10"/>
  <c r="D52" i="10"/>
  <c r="D51" i="10"/>
  <c r="D47" i="10"/>
  <c r="D46" i="10"/>
  <c r="D45" i="10"/>
  <c r="D44" i="10"/>
  <c r="D43" i="10"/>
  <c r="D42" i="10"/>
  <c r="D41" i="10"/>
  <c r="D40" i="10"/>
  <c r="D39" i="10"/>
  <c r="D38" i="10"/>
  <c r="D37" i="10"/>
  <c r="D31" i="10"/>
  <c r="D30" i="10"/>
  <c r="D29" i="10"/>
  <c r="D28" i="10"/>
  <c r="D26" i="10"/>
  <c r="D25" i="10"/>
  <c r="D24" i="10"/>
  <c r="D22" i="10"/>
  <c r="D21" i="10"/>
  <c r="D20" i="10"/>
  <c r="D19" i="10"/>
  <c r="D18" i="10"/>
  <c r="D17" i="10"/>
  <c r="D16" i="10"/>
  <c r="D15" i="10"/>
  <c r="D14" i="10"/>
  <c r="D13" i="10"/>
  <c r="D9" i="10"/>
  <c r="D8" i="10"/>
  <c r="D7" i="10"/>
  <c r="D6" i="10"/>
  <c r="B82" i="13"/>
  <c r="B18" i="13"/>
  <c r="B86" i="1"/>
  <c r="B82" i="1"/>
  <c r="B79" i="1"/>
  <c r="B78" i="1"/>
  <c r="B76" i="1"/>
  <c r="B75" i="1"/>
  <c r="B64" i="1"/>
  <c r="B63" i="1"/>
  <c r="B62" i="1"/>
  <c r="B61" i="1"/>
  <c r="B60" i="1"/>
  <c r="B59" i="1"/>
  <c r="B58" i="1"/>
  <c r="B57" i="1"/>
  <c r="B53" i="1"/>
  <c r="B52" i="1"/>
  <c r="B51" i="1"/>
  <c r="B50" i="1"/>
  <c r="B49" i="1"/>
  <c r="B48" i="1"/>
  <c r="B47" i="1"/>
  <c r="B46" i="1"/>
  <c r="B45" i="1"/>
  <c r="B44" i="1"/>
  <c r="B43" i="1"/>
  <c r="B37" i="1"/>
  <c r="B36" i="1"/>
  <c r="B35" i="1"/>
  <c r="B34" i="1"/>
  <c r="B32" i="1"/>
  <c r="B31" i="1"/>
  <c r="B30" i="1"/>
  <c r="B28" i="1"/>
  <c r="B27" i="1"/>
  <c r="B26" i="1"/>
  <c r="B25" i="1"/>
  <c r="B24" i="1"/>
  <c r="B23" i="1"/>
  <c r="B22" i="1"/>
  <c r="B21" i="1"/>
  <c r="B20" i="1"/>
  <c r="B19" i="1"/>
  <c r="B15" i="1"/>
  <c r="B14" i="1"/>
  <c r="B13" i="1"/>
  <c r="B12" i="1"/>
  <c r="B86" i="17"/>
  <c r="B82" i="17"/>
  <c r="B76" i="17"/>
  <c r="B75" i="17"/>
  <c r="B66" i="17"/>
  <c r="B64" i="17"/>
  <c r="B62" i="17"/>
  <c r="B61" i="17"/>
  <c r="B60" i="17"/>
  <c r="B58" i="17"/>
  <c r="B53" i="17"/>
  <c r="B52" i="17"/>
  <c r="B51" i="17"/>
  <c r="B50" i="17"/>
  <c r="B49" i="17"/>
  <c r="B48" i="17"/>
  <c r="B47" i="17"/>
  <c r="B46" i="17"/>
  <c r="B44" i="17"/>
  <c r="B37" i="17"/>
  <c r="B36" i="17"/>
  <c r="B34" i="17"/>
  <c r="B32" i="17"/>
  <c r="B28" i="17"/>
  <c r="B27" i="17"/>
  <c r="B26" i="17"/>
  <c r="B25" i="17"/>
  <c r="B24" i="17"/>
  <c r="B21" i="17"/>
  <c r="B20" i="17"/>
  <c r="B13" i="17"/>
  <c r="J21" i="12" l="1"/>
  <c r="G48" i="11"/>
  <c r="J14" i="12"/>
  <c r="J20" i="12"/>
  <c r="J38" i="12"/>
  <c r="J42" i="12"/>
  <c r="J46" i="12"/>
  <c r="J55" i="12"/>
  <c r="J69" i="12"/>
  <c r="J25" i="12"/>
  <c r="J52" i="12"/>
  <c r="J26" i="12"/>
  <c r="BG86" i="13" l="1"/>
  <c r="BF86" i="13"/>
  <c r="BE86" i="13"/>
  <c r="BD86" i="13"/>
  <c r="BG79" i="13"/>
  <c r="BF79" i="13"/>
  <c r="BE79" i="13"/>
  <c r="BG78" i="13"/>
  <c r="BF78" i="13"/>
  <c r="BE78" i="13"/>
  <c r="BG77" i="13"/>
  <c r="BF77" i="13"/>
  <c r="BE77" i="13"/>
  <c r="BD77" i="13"/>
  <c r="BG76" i="13"/>
  <c r="BF76" i="13"/>
  <c r="BE76" i="13"/>
  <c r="BD76" i="13"/>
  <c r="BG75" i="13"/>
  <c r="BF75" i="13"/>
  <c r="BE75" i="13"/>
  <c r="BD75" i="13"/>
  <c r="BG64" i="13"/>
  <c r="BF64" i="13"/>
  <c r="BE64" i="13"/>
  <c r="BD64" i="13"/>
  <c r="BG63" i="13"/>
  <c r="BF63" i="13"/>
  <c r="BE63" i="13"/>
  <c r="BD63" i="13"/>
  <c r="BG62" i="13"/>
  <c r="BF62" i="13"/>
  <c r="BE62" i="13"/>
  <c r="BD62" i="13"/>
  <c r="BG61" i="13"/>
  <c r="BF61" i="13"/>
  <c r="BE61" i="13"/>
  <c r="BD61" i="13"/>
  <c r="BG60" i="13"/>
  <c r="BF60" i="13"/>
  <c r="BE60" i="13"/>
  <c r="BD60" i="13"/>
  <c r="BG59" i="13"/>
  <c r="BF59" i="13"/>
  <c r="BE59" i="13"/>
  <c r="BD59" i="13"/>
  <c r="BG58" i="13"/>
  <c r="BF58" i="13"/>
  <c r="BE58" i="13"/>
  <c r="BD58" i="13"/>
  <c r="BG57" i="13"/>
  <c r="BG65" i="13" s="1"/>
  <c r="BF57" i="13"/>
  <c r="BF65" i="13" s="1"/>
  <c r="BE57" i="13"/>
  <c r="BG53" i="13"/>
  <c r="BF53" i="13"/>
  <c r="BE53" i="13"/>
  <c r="BD53" i="13"/>
  <c r="BG52" i="13"/>
  <c r="BF52" i="13"/>
  <c r="BE52" i="13"/>
  <c r="BD52" i="13"/>
  <c r="BG51" i="13"/>
  <c r="BF51" i="13"/>
  <c r="BE51" i="13"/>
  <c r="BD51" i="13"/>
  <c r="BG50" i="13"/>
  <c r="BF50" i="13"/>
  <c r="BE50" i="13"/>
  <c r="BD50" i="13"/>
  <c r="BG49" i="13"/>
  <c r="BF49" i="13"/>
  <c r="BE49" i="13"/>
  <c r="BD49" i="13"/>
  <c r="BG48" i="13"/>
  <c r="BF48" i="13"/>
  <c r="BE48" i="13"/>
  <c r="BD48" i="13"/>
  <c r="BG47" i="13"/>
  <c r="BF47" i="13"/>
  <c r="BE47" i="13"/>
  <c r="BD47" i="13"/>
  <c r="BG46" i="13"/>
  <c r="BF46" i="13"/>
  <c r="BE46" i="13"/>
  <c r="BD46" i="13"/>
  <c r="BG45" i="13"/>
  <c r="BF45" i="13"/>
  <c r="BE45" i="13"/>
  <c r="BD45" i="13"/>
  <c r="BG44" i="13"/>
  <c r="BF44" i="13"/>
  <c r="BE44" i="13"/>
  <c r="BD44" i="13"/>
  <c r="BG43" i="13"/>
  <c r="BG54" i="13" s="1"/>
  <c r="BF43" i="13"/>
  <c r="BF54" i="13" s="1"/>
  <c r="BE43" i="13"/>
  <c r="BE54" i="13" s="1"/>
  <c r="BG37" i="13"/>
  <c r="BF37" i="13"/>
  <c r="BE37" i="13"/>
  <c r="BD37" i="13"/>
  <c r="BG36" i="13"/>
  <c r="BF36" i="13"/>
  <c r="BE36" i="13"/>
  <c r="BD36" i="13"/>
  <c r="BG35" i="13"/>
  <c r="BF35" i="13"/>
  <c r="BE35" i="13"/>
  <c r="BD35" i="13"/>
  <c r="BG34" i="13"/>
  <c r="BF34" i="13"/>
  <c r="BE34" i="13"/>
  <c r="BD34" i="13"/>
  <c r="BG32" i="13"/>
  <c r="BF32" i="13"/>
  <c r="BE32" i="13"/>
  <c r="BD32" i="13"/>
  <c r="BG31" i="13"/>
  <c r="BF31" i="13"/>
  <c r="BE31" i="13"/>
  <c r="BD31" i="13"/>
  <c r="BG30" i="13"/>
  <c r="BF30" i="13"/>
  <c r="BE30" i="13"/>
  <c r="BG28" i="13"/>
  <c r="BF28" i="13"/>
  <c r="BE28" i="13"/>
  <c r="BD28" i="13"/>
  <c r="BG27" i="13"/>
  <c r="BF27" i="13"/>
  <c r="BE27" i="13"/>
  <c r="BD27" i="13"/>
  <c r="BG26" i="13"/>
  <c r="BF26" i="13"/>
  <c r="BE26" i="13"/>
  <c r="BD26" i="13"/>
  <c r="BG25" i="13"/>
  <c r="BF25" i="13"/>
  <c r="BE25" i="13"/>
  <c r="BD25" i="13"/>
  <c r="BG24" i="13"/>
  <c r="BF24" i="13"/>
  <c r="BE24" i="13"/>
  <c r="BD24" i="13"/>
  <c r="BG23" i="13"/>
  <c r="BF23" i="13"/>
  <c r="BE23" i="13"/>
  <c r="BD23" i="13"/>
  <c r="BG22" i="13"/>
  <c r="BF22" i="13"/>
  <c r="BE22" i="13"/>
  <c r="BG21" i="13"/>
  <c r="BF21" i="13"/>
  <c r="BE21" i="13"/>
  <c r="BD21" i="13"/>
  <c r="BG20" i="13"/>
  <c r="BF20" i="13"/>
  <c r="BE20" i="13"/>
  <c r="BD20" i="13"/>
  <c r="BG19" i="13"/>
  <c r="BF19" i="13"/>
  <c r="BF29" i="13" s="1"/>
  <c r="BE19" i="13"/>
  <c r="BG15" i="13"/>
  <c r="BF15" i="13"/>
  <c r="BE15" i="13"/>
  <c r="BD15" i="13"/>
  <c r="BG14" i="13"/>
  <c r="BF14" i="13"/>
  <c r="BE14" i="13"/>
  <c r="BD14" i="13"/>
  <c r="BG13" i="13"/>
  <c r="BF13" i="13"/>
  <c r="BE13" i="13"/>
  <c r="BD13" i="13"/>
  <c r="BG12" i="13"/>
  <c r="BF12" i="13"/>
  <c r="BF16" i="13" s="1"/>
  <c r="BE12" i="13"/>
  <c r="BE16" i="13" s="1"/>
  <c r="BD12" i="13"/>
  <c r="BG9" i="13"/>
  <c r="BF9" i="13"/>
  <c r="BE9" i="13"/>
  <c r="BD9" i="13"/>
  <c r="BG8" i="13"/>
  <c r="BF8" i="13"/>
  <c r="BE8" i="13"/>
  <c r="BD8" i="13"/>
  <c r="BG65" i="17"/>
  <c r="BF65" i="17"/>
  <c r="BE65" i="17"/>
  <c r="BG54" i="17"/>
  <c r="BF54" i="17"/>
  <c r="BE54" i="17"/>
  <c r="BG29" i="17"/>
  <c r="BF29" i="17"/>
  <c r="BE29" i="17"/>
  <c r="BD29" i="17"/>
  <c r="BG16" i="17"/>
  <c r="BF16" i="17"/>
  <c r="BF74" i="17" s="1"/>
  <c r="BF80" i="17" s="1"/>
  <c r="BF83" i="17" s="1"/>
  <c r="BF85" i="17" s="1"/>
  <c r="BF87" i="17" s="1"/>
  <c r="BF33" i="17" s="1"/>
  <c r="BE16" i="17"/>
  <c r="BD16" i="17"/>
  <c r="BG65" i="1"/>
  <c r="BF65" i="1"/>
  <c r="BE65" i="1"/>
  <c r="BD65" i="1"/>
  <c r="BG54" i="1"/>
  <c r="BG67" i="1" s="1"/>
  <c r="BF54" i="1"/>
  <c r="BF67" i="1" s="1"/>
  <c r="BE54" i="1"/>
  <c r="BE67" i="1" s="1"/>
  <c r="BD54" i="1"/>
  <c r="BD67" i="1" s="1"/>
  <c r="BG29" i="1"/>
  <c r="BF29" i="1"/>
  <c r="BE29" i="1"/>
  <c r="BD29" i="1"/>
  <c r="BG16" i="1"/>
  <c r="BF16" i="1"/>
  <c r="BF74" i="1" s="1"/>
  <c r="BF80" i="1" s="1"/>
  <c r="BF83" i="1" s="1"/>
  <c r="BF85" i="1" s="1"/>
  <c r="BF87" i="1" s="1"/>
  <c r="BF33" i="1" s="1"/>
  <c r="BE16" i="1"/>
  <c r="BE74" i="1" s="1"/>
  <c r="BE80" i="1" s="1"/>
  <c r="BE83" i="1" s="1"/>
  <c r="BE85" i="1" s="1"/>
  <c r="BE87" i="1" s="1"/>
  <c r="BE33" i="1" s="1"/>
  <c r="BD16" i="1"/>
  <c r="BD74" i="1" s="1"/>
  <c r="BD80" i="1" s="1"/>
  <c r="BD83" i="1" s="1"/>
  <c r="BD85" i="1" s="1"/>
  <c r="BD87" i="1" s="1"/>
  <c r="BD33" i="1" s="1"/>
  <c r="B76" i="16" l="1" a="1"/>
  <c r="B76" i="16" s="1"/>
  <c r="C76" i="16" a="1"/>
  <c r="C76" i="16" s="1"/>
  <c r="BE74" i="17"/>
  <c r="BE80" i="17" s="1"/>
  <c r="BE83" i="17" s="1"/>
  <c r="BE85" i="17" s="1"/>
  <c r="BE87" i="17" s="1"/>
  <c r="BE33" i="17" s="1"/>
  <c r="BE33" i="13" s="1"/>
  <c r="BG74" i="17"/>
  <c r="BG80" i="17" s="1"/>
  <c r="BG83" i="17" s="1"/>
  <c r="BG85" i="17" s="1"/>
  <c r="BG87" i="17" s="1"/>
  <c r="BG33" i="17" s="1"/>
  <c r="BG38" i="17" s="1"/>
  <c r="BG40" i="17" s="1"/>
  <c r="BD19" i="13"/>
  <c r="J13" i="11"/>
  <c r="J13" i="12" s="1"/>
  <c r="B19" i="17"/>
  <c r="BD78" i="13"/>
  <c r="J71" i="11"/>
  <c r="J71" i="12" s="1"/>
  <c r="BD57" i="13"/>
  <c r="J51" i="11"/>
  <c r="J51" i="12" s="1"/>
  <c r="B57" i="17"/>
  <c r="BD22" i="13"/>
  <c r="J16" i="11"/>
  <c r="J16" i="12" s="1"/>
  <c r="BD79" i="13"/>
  <c r="J72" i="11"/>
  <c r="J72" i="12" s="1"/>
  <c r="B79" i="17"/>
  <c r="BD54" i="17"/>
  <c r="J37" i="11"/>
  <c r="J37" i="12" s="1"/>
  <c r="J48" i="12" s="1"/>
  <c r="B43" i="17"/>
  <c r="BD30" i="13"/>
  <c r="J24" i="11"/>
  <c r="J24" i="12" s="1"/>
  <c r="B30" i="17"/>
  <c r="J29" i="11"/>
  <c r="J29" i="12" s="1"/>
  <c r="J8" i="11"/>
  <c r="J8" i="12" s="1"/>
  <c r="B14" i="17"/>
  <c r="J17" i="11"/>
  <c r="J17" i="12" s="1"/>
  <c r="B23" i="17"/>
  <c r="J53" i="11"/>
  <c r="J53" i="12" s="1"/>
  <c r="J9" i="11"/>
  <c r="J9" i="12" s="1"/>
  <c r="BG67" i="13"/>
  <c r="BG67" i="17"/>
  <c r="BG29" i="13"/>
  <c r="BG16" i="13"/>
  <c r="BG74" i="13" s="1"/>
  <c r="BG80" i="13" s="1"/>
  <c r="BG83" i="13" s="1"/>
  <c r="BG85" i="13" s="1"/>
  <c r="BG87" i="13" s="1"/>
  <c r="BG93" i="13" s="1"/>
  <c r="BF67" i="13"/>
  <c r="BF67" i="17"/>
  <c r="BF38" i="17"/>
  <c r="BF40" i="17" s="1"/>
  <c r="BF33" i="13"/>
  <c r="BF38" i="13" s="1"/>
  <c r="BF40" i="13" s="1"/>
  <c r="BE29" i="13"/>
  <c r="BE74" i="13" s="1"/>
  <c r="BE80" i="13" s="1"/>
  <c r="BE83" i="13" s="1"/>
  <c r="BE85" i="13" s="1"/>
  <c r="BE87" i="13" s="1"/>
  <c r="BE93" i="13" s="1"/>
  <c r="BE65" i="13"/>
  <c r="BE67" i="13" s="1"/>
  <c r="BE67" i="17"/>
  <c r="BD65" i="13"/>
  <c r="BD43" i="13"/>
  <c r="BD54" i="13" s="1"/>
  <c r="BD65" i="17"/>
  <c r="BD16" i="13"/>
  <c r="BD74" i="17"/>
  <c r="BD80" i="17" s="1"/>
  <c r="BD83" i="17" s="1"/>
  <c r="BD85" i="17" s="1"/>
  <c r="BD87" i="17" s="1"/>
  <c r="BD33" i="17" s="1"/>
  <c r="BF74" i="13"/>
  <c r="BF80" i="13" s="1"/>
  <c r="BF83" i="13" s="1"/>
  <c r="BF85" i="13" s="1"/>
  <c r="BF87" i="13" s="1"/>
  <c r="BF93" i="13" s="1"/>
  <c r="BD38" i="1"/>
  <c r="BE38" i="1"/>
  <c r="BF38" i="1"/>
  <c r="BF40" i="1" s="1"/>
  <c r="BG74" i="1"/>
  <c r="BG80" i="1" s="1"/>
  <c r="BG83" i="1" s="1"/>
  <c r="BG85" i="1" s="1"/>
  <c r="BG87" i="1" s="1"/>
  <c r="BG33" i="1" s="1"/>
  <c r="BG38" i="1" s="1"/>
  <c r="BG40" i="1" s="1"/>
  <c r="BD40" i="1"/>
  <c r="BE40" i="1"/>
  <c r="B45" i="17"/>
  <c r="B79" i="16" l="1"/>
  <c r="C78" i="16"/>
  <c r="B77" i="16"/>
  <c r="C79" i="16"/>
  <c r="B78" i="16"/>
  <c r="C77" i="16"/>
  <c r="BE38" i="17"/>
  <c r="BE40" i="17" s="1"/>
  <c r="BD67" i="17"/>
  <c r="BD67" i="13"/>
  <c r="E76" i="16" s="1" a="1"/>
  <c r="J10" i="12"/>
  <c r="BD29" i="13"/>
  <c r="BD74" i="13" s="1"/>
  <c r="BD80" i="13" s="1"/>
  <c r="BD83" i="13" s="1"/>
  <c r="BD85" i="13" s="1"/>
  <c r="BD87" i="13" s="1"/>
  <c r="BD93" i="13" s="1"/>
  <c r="BG33" i="13"/>
  <c r="BG38" i="13" s="1"/>
  <c r="BG40" i="13" s="1"/>
  <c r="J27" i="10"/>
  <c r="J59" i="12"/>
  <c r="J61" i="12" s="1"/>
  <c r="BD33" i="13"/>
  <c r="BD38" i="13" s="1"/>
  <c r="BD40" i="13" s="1"/>
  <c r="J27" i="11"/>
  <c r="J23" i="12"/>
  <c r="BE38" i="13"/>
  <c r="BE40" i="13" s="1"/>
  <c r="BD38" i="17"/>
  <c r="BD40" i="17" s="1"/>
  <c r="D76" i="16" l="1" a="1"/>
  <c r="D78" i="16" s="1"/>
  <c r="E76" i="16"/>
  <c r="E78" i="16"/>
  <c r="E77" i="16"/>
  <c r="E79" i="16"/>
  <c r="J67" i="12"/>
  <c r="J73" i="12" s="1"/>
  <c r="J76" i="12" s="1"/>
  <c r="D77" i="16" l="1"/>
  <c r="D76" i="16"/>
  <c r="D79" i="16"/>
  <c r="E80" i="16"/>
  <c r="J78" i="12"/>
  <c r="J80" i="12" s="1"/>
  <c r="J27" i="12" s="1"/>
  <c r="J32" i="12" s="1"/>
  <c r="J34" i="12" s="1"/>
  <c r="D80" i="16" l="1"/>
  <c r="B15" i="17"/>
  <c r="B12" i="17"/>
  <c r="B59" i="17"/>
  <c r="B35" i="17"/>
  <c r="B78" i="17"/>
  <c r="B31" i="17"/>
  <c r="B22" i="17"/>
  <c r="B63" i="17"/>
  <c r="AO65" i="17" l="1"/>
  <c r="AN65" i="17"/>
  <c r="AM65" i="17"/>
  <c r="AO54" i="17"/>
  <c r="AN54" i="17"/>
  <c r="AM54" i="17"/>
  <c r="AM67" i="17" s="1"/>
  <c r="AO29" i="17"/>
  <c r="AN29" i="17"/>
  <c r="AM29" i="17"/>
  <c r="AO16" i="17"/>
  <c r="AN16" i="17"/>
  <c r="AM16" i="17"/>
  <c r="AO9" i="17"/>
  <c r="AN9" i="17"/>
  <c r="AM9" i="17"/>
  <c r="AO8" i="17"/>
  <c r="AN8" i="17"/>
  <c r="AM8" i="17"/>
  <c r="AN74" i="17" l="1"/>
  <c r="AN80" i="17" s="1"/>
  <c r="AN83" i="17" s="1"/>
  <c r="AN85" i="17" s="1"/>
  <c r="AN87" i="17" s="1"/>
  <c r="AN33" i="17" s="1"/>
  <c r="AN38" i="17" s="1"/>
  <c r="AN40" i="17" s="1"/>
  <c r="AO74" i="17"/>
  <c r="AN67" i="17"/>
  <c r="AO67" i="17"/>
  <c r="AO80" i="17"/>
  <c r="AO83" i="17" s="1"/>
  <c r="AO85" i="17" s="1"/>
  <c r="AO87" i="17" s="1"/>
  <c r="AO33" i="17" s="1"/>
  <c r="AO38" i="17" s="1"/>
  <c r="AO40" i="17" s="1"/>
  <c r="AM74" i="17"/>
  <c r="AM80" i="17" l="1"/>
  <c r="AM83" i="17" s="1"/>
  <c r="AM85" i="17" s="1"/>
  <c r="AM87" i="17" s="1"/>
  <c r="AM33" i="17" s="1"/>
  <c r="AM38" i="17" s="1"/>
  <c r="AM40" i="17" s="1"/>
  <c r="AO29" i="1" l="1"/>
  <c r="AN29" i="1"/>
  <c r="AO16" i="1"/>
  <c r="AN16" i="1"/>
  <c r="AO74" i="1" l="1"/>
  <c r="AO80" i="1" s="1"/>
  <c r="AO83" i="1" s="1"/>
  <c r="AO85" i="1" s="1"/>
  <c r="AO87" i="1" s="1"/>
  <c r="AO33" i="1" s="1"/>
  <c r="AO38" i="1" s="1"/>
  <c r="AO40" i="1" s="1"/>
  <c r="AN74" i="1"/>
  <c r="AN80" i="1" s="1"/>
  <c r="AN83" i="1" s="1"/>
  <c r="AN85" i="1" s="1"/>
  <c r="AN87" i="1" s="1"/>
  <c r="AN33" i="1" s="1"/>
  <c r="AN38" i="1" s="1"/>
  <c r="AN40" i="1" s="1"/>
  <c r="AO65" i="1"/>
  <c r="AN65" i="1"/>
  <c r="AM65" i="1"/>
  <c r="AO54" i="1"/>
  <c r="AN54" i="1"/>
  <c r="AM54" i="1"/>
  <c r="AM29" i="1"/>
  <c r="AM16" i="1"/>
  <c r="AM74" i="1" l="1"/>
  <c r="AM67" i="1"/>
  <c r="AO67" i="1"/>
  <c r="AM80" i="1"/>
  <c r="AM83" i="1" s="1"/>
  <c r="AM85" i="1" s="1"/>
  <c r="AM87" i="1" s="1"/>
  <c r="AM33" i="1" s="1"/>
  <c r="AM38" i="1" s="1"/>
  <c r="AM40" i="1" s="1"/>
  <c r="AN67" i="1"/>
  <c r="AO86" i="13" l="1"/>
  <c r="AN86" i="13"/>
  <c r="AM86" i="13"/>
  <c r="AO79" i="13"/>
  <c r="AN79" i="13"/>
  <c r="AM79" i="13"/>
  <c r="AO78" i="13"/>
  <c r="AN78" i="13"/>
  <c r="AM78" i="13"/>
  <c r="AO77" i="13"/>
  <c r="AN77" i="13"/>
  <c r="AM77" i="13"/>
  <c r="AO76" i="13"/>
  <c r="AN76" i="13"/>
  <c r="AM76" i="13"/>
  <c r="AO75" i="13"/>
  <c r="AN75" i="13"/>
  <c r="AM75" i="13"/>
  <c r="AO64" i="13"/>
  <c r="AN64" i="13"/>
  <c r="AM64" i="13"/>
  <c r="AO63" i="13"/>
  <c r="AN63" i="13"/>
  <c r="AM63" i="13"/>
  <c r="AO62" i="13"/>
  <c r="AN62" i="13"/>
  <c r="AM62" i="13"/>
  <c r="AO61" i="13"/>
  <c r="AN61" i="13"/>
  <c r="AM61" i="13"/>
  <c r="AO60" i="13"/>
  <c r="AN60" i="13"/>
  <c r="AM60" i="13"/>
  <c r="AO59" i="13"/>
  <c r="AN59" i="13"/>
  <c r="AM59" i="13"/>
  <c r="AO58" i="13"/>
  <c r="AN58" i="13"/>
  <c r="AM58" i="13"/>
  <c r="AO57" i="13"/>
  <c r="AN57" i="13"/>
  <c r="AM57" i="13"/>
  <c r="AO53" i="13"/>
  <c r="AN53" i="13"/>
  <c r="AM53" i="13"/>
  <c r="AO52" i="13"/>
  <c r="AN52" i="13"/>
  <c r="AM52" i="13"/>
  <c r="AO51" i="13"/>
  <c r="AN51" i="13"/>
  <c r="AM51" i="13"/>
  <c r="AO50" i="13"/>
  <c r="AN50" i="13"/>
  <c r="AM50" i="13"/>
  <c r="AO49" i="13"/>
  <c r="AN49" i="13"/>
  <c r="AM49" i="13"/>
  <c r="AO48" i="13"/>
  <c r="AN48" i="13"/>
  <c r="AM48" i="13"/>
  <c r="AO47" i="13"/>
  <c r="AN47" i="13"/>
  <c r="AM47" i="13"/>
  <c r="AO46" i="13"/>
  <c r="AN46" i="13"/>
  <c r="AM46" i="13"/>
  <c r="AO45" i="13"/>
  <c r="AN45" i="13"/>
  <c r="AM45" i="13"/>
  <c r="AO44" i="13"/>
  <c r="AN44" i="13"/>
  <c r="AM44" i="13"/>
  <c r="AO43" i="13"/>
  <c r="AN43" i="13"/>
  <c r="AM43" i="13"/>
  <c r="AO37" i="13"/>
  <c r="AN37" i="13"/>
  <c r="AM37" i="13"/>
  <c r="AO36" i="13"/>
  <c r="AN36" i="13"/>
  <c r="AM36" i="13"/>
  <c r="AO35" i="13"/>
  <c r="AN35" i="13"/>
  <c r="AM35" i="13"/>
  <c r="AO34" i="13"/>
  <c r="AN34" i="13"/>
  <c r="AM34" i="13"/>
  <c r="AO33" i="13"/>
  <c r="AN33" i="13"/>
  <c r="AM33" i="13"/>
  <c r="AO32" i="13"/>
  <c r="AN32" i="13"/>
  <c r="AM32" i="13"/>
  <c r="AO31" i="13"/>
  <c r="AN31" i="13"/>
  <c r="AM31" i="13"/>
  <c r="AO30" i="13"/>
  <c r="AN30" i="13"/>
  <c r="AM30" i="13"/>
  <c r="AO28" i="13"/>
  <c r="AN28" i="13"/>
  <c r="AM28" i="13"/>
  <c r="AO27" i="13"/>
  <c r="AN27" i="13"/>
  <c r="AM27" i="13"/>
  <c r="AO26" i="13"/>
  <c r="AN26" i="13"/>
  <c r="AM26" i="13"/>
  <c r="AO25" i="13"/>
  <c r="AN25" i="13"/>
  <c r="AM25" i="13"/>
  <c r="AO24" i="13"/>
  <c r="AN24" i="13"/>
  <c r="AM24" i="13"/>
  <c r="AO23" i="13"/>
  <c r="AN23" i="13"/>
  <c r="AM23" i="13"/>
  <c r="AO22" i="13"/>
  <c r="AN22" i="13"/>
  <c r="AM22" i="13"/>
  <c r="AO21" i="13"/>
  <c r="AN21" i="13"/>
  <c r="AM21" i="13"/>
  <c r="AO20" i="13"/>
  <c r="AN20" i="13"/>
  <c r="AM20" i="13"/>
  <c r="AO19" i="13"/>
  <c r="AN19" i="13"/>
  <c r="AN29" i="13" s="1"/>
  <c r="AM19" i="13"/>
  <c r="AO15" i="13"/>
  <c r="AN15" i="13"/>
  <c r="AM15" i="13"/>
  <c r="AO14" i="13"/>
  <c r="AN14" i="13"/>
  <c r="AM14" i="13"/>
  <c r="AO13" i="13"/>
  <c r="AN13" i="13"/>
  <c r="AM13" i="13"/>
  <c r="AO12" i="13"/>
  <c r="AN12" i="13"/>
  <c r="AN16" i="13" s="1"/>
  <c r="AM12" i="13"/>
  <c r="AO9" i="13"/>
  <c r="AN9" i="13"/>
  <c r="AM9" i="13"/>
  <c r="AO8" i="13"/>
  <c r="AN8" i="13"/>
  <c r="AM8" i="13"/>
  <c r="AN38" i="13" l="1"/>
  <c r="AO16" i="13"/>
  <c r="AN54" i="13"/>
  <c r="AO54" i="13"/>
  <c r="AM54" i="13"/>
  <c r="AM16" i="13"/>
  <c r="AM29" i="13"/>
  <c r="AO29" i="13"/>
  <c r="AO38" i="13" s="1"/>
  <c r="AO40" i="13" s="1"/>
  <c r="AN65" i="13"/>
  <c r="AO65" i="13"/>
  <c r="AM65" i="13"/>
  <c r="AM38" i="13"/>
  <c r="AM40" i="13" s="1"/>
  <c r="AN40" i="13"/>
  <c r="AN74" i="13"/>
  <c r="AN80" i="13" s="1"/>
  <c r="AN83" i="13" s="1"/>
  <c r="AN85" i="13" s="1"/>
  <c r="AN87" i="13" s="1"/>
  <c r="AN93" i="13" s="1"/>
  <c r="AM74" i="13"/>
  <c r="AN67" i="13" l="1"/>
  <c r="AO67" i="13"/>
  <c r="AO74" i="13"/>
  <c r="AO80" i="13" s="1"/>
  <c r="AO83" i="13" s="1"/>
  <c r="AO85" i="13" s="1"/>
  <c r="AO87" i="13" s="1"/>
  <c r="AO93" i="13" s="1"/>
  <c r="AM80" i="13"/>
  <c r="AM83" i="13" s="1"/>
  <c r="AM85" i="13" s="1"/>
  <c r="AM87" i="13" s="1"/>
  <c r="AM93" i="13" s="1"/>
  <c r="AM67" i="13"/>
  <c r="AC65" i="1" l="1"/>
  <c r="AC54" i="1"/>
  <c r="AC67" i="1" s="1"/>
  <c r="AC29" i="1"/>
  <c r="AC16" i="1"/>
  <c r="AC74" i="1" l="1"/>
  <c r="AC80" i="1" s="1"/>
  <c r="AC83" i="1" s="1"/>
  <c r="AC85" i="1" s="1"/>
  <c r="AC87" i="1" s="1"/>
  <c r="AC33" i="1" s="1"/>
  <c r="AC38" i="1" s="1"/>
  <c r="AC40" i="1" s="1"/>
  <c r="AC86" i="13" l="1"/>
  <c r="AC79" i="13"/>
  <c r="AC77" i="13"/>
  <c r="AC76" i="13"/>
  <c r="AC75" i="13"/>
  <c r="AC64" i="13"/>
  <c r="AC63" i="13"/>
  <c r="AC62" i="13"/>
  <c r="AC61" i="13"/>
  <c r="AC60" i="13"/>
  <c r="AC53" i="13"/>
  <c r="AC52" i="13"/>
  <c r="AC51" i="13"/>
  <c r="AC50" i="13"/>
  <c r="AC49" i="13"/>
  <c r="AC48" i="13"/>
  <c r="AC47" i="13"/>
  <c r="AC46" i="13"/>
  <c r="AC45" i="13"/>
  <c r="AC44" i="13"/>
  <c r="AC43" i="13"/>
  <c r="AC37" i="13"/>
  <c r="AC36" i="13"/>
  <c r="AC34" i="13"/>
  <c r="AC32" i="13"/>
  <c r="AC27" i="13"/>
  <c r="AC20" i="13"/>
  <c r="AC15" i="13"/>
  <c r="AC14" i="13"/>
  <c r="AC13" i="13"/>
  <c r="AC12" i="13"/>
  <c r="AC9" i="13"/>
  <c r="AC8" i="13"/>
  <c r="AC54" i="17"/>
  <c r="AC78" i="13"/>
  <c r="AC59" i="13"/>
  <c r="AC35" i="13"/>
  <c r="AC57" i="13"/>
  <c r="AC30" i="13"/>
  <c r="AC58" i="13"/>
  <c r="AC28" i="13"/>
  <c r="AC25" i="13"/>
  <c r="AC24" i="13"/>
  <c r="AC23" i="13"/>
  <c r="AC22" i="13"/>
  <c r="AC21" i="13"/>
  <c r="AC19" i="13"/>
  <c r="AC31" i="13"/>
  <c r="AC16" i="13" l="1"/>
  <c r="AC54" i="13"/>
  <c r="AC29" i="17"/>
  <c r="AC65" i="17"/>
  <c r="AC67" i="17" s="1"/>
  <c r="AC26" i="13"/>
  <c r="AC29" i="13" s="1"/>
  <c r="AC65" i="13"/>
  <c r="AC67" i="13" s="1"/>
  <c r="AC90" i="13" s="1"/>
  <c r="AC74" i="13" l="1"/>
  <c r="AC80" i="13" s="1"/>
  <c r="AC83" i="13" s="1"/>
  <c r="AC85" i="13" s="1"/>
  <c r="AC87" i="13" s="1"/>
  <c r="AC93" i="13" s="1"/>
  <c r="AC16" i="17" l="1"/>
  <c r="AC74" i="17" s="1"/>
  <c r="AC80" i="17" s="1"/>
  <c r="AC83" i="17" s="1"/>
  <c r="AC85" i="17" s="1"/>
  <c r="AC87" i="17" s="1"/>
  <c r="AC33" i="17" s="1"/>
  <c r="AC9" i="17"/>
  <c r="AC8" i="17"/>
  <c r="AC38" i="17" l="1"/>
  <c r="AC40" i="17" s="1"/>
  <c r="AC33" i="13"/>
  <c r="AC38" i="13" s="1"/>
  <c r="AC40" i="13" s="1"/>
  <c r="X86" i="13" l="1"/>
  <c r="X77" i="13"/>
  <c r="X76" i="13"/>
  <c r="X75" i="13"/>
  <c r="X64" i="13"/>
  <c r="X63" i="13"/>
  <c r="X62" i="13"/>
  <c r="X61" i="13"/>
  <c r="X60" i="13"/>
  <c r="X57" i="13"/>
  <c r="X53" i="13"/>
  <c r="X52" i="13"/>
  <c r="X51" i="13"/>
  <c r="X50" i="13"/>
  <c r="X49" i="13"/>
  <c r="X48" i="13"/>
  <c r="X47" i="13"/>
  <c r="X46" i="13"/>
  <c r="X45" i="13"/>
  <c r="X44" i="13"/>
  <c r="X37" i="13"/>
  <c r="X36" i="13"/>
  <c r="X34" i="13"/>
  <c r="X32" i="13"/>
  <c r="X30" i="13"/>
  <c r="X28" i="13"/>
  <c r="X27" i="13"/>
  <c r="X26" i="13"/>
  <c r="X25" i="13"/>
  <c r="X24" i="13"/>
  <c r="X23" i="13"/>
  <c r="X21" i="13"/>
  <c r="X20" i="13"/>
  <c r="X19" i="13"/>
  <c r="X15" i="13"/>
  <c r="X14" i="13"/>
  <c r="X13" i="13"/>
  <c r="X12" i="13"/>
  <c r="X9" i="13"/>
  <c r="X8" i="13"/>
  <c r="X79" i="13"/>
  <c r="X78" i="13"/>
  <c r="X35" i="13"/>
  <c r="X59" i="13"/>
  <c r="X58" i="13"/>
  <c r="X43" i="13"/>
  <c r="X31" i="13"/>
  <c r="X22" i="13"/>
  <c r="X29" i="1"/>
  <c r="X16" i="1"/>
  <c r="X29" i="13" l="1"/>
  <c r="X16" i="13"/>
  <c r="X65" i="13"/>
  <c r="X54" i="13"/>
  <c r="X67" i="13" s="1"/>
  <c r="X74" i="13" l="1"/>
  <c r="X80" i="13" s="1"/>
  <c r="X83" i="13" s="1"/>
  <c r="X85" i="13" s="1"/>
  <c r="X87" i="13" s="1"/>
  <c r="X93" i="13" s="1"/>
  <c r="W86" i="13"/>
  <c r="W79" i="13"/>
  <c r="W78" i="13"/>
  <c r="W77" i="13"/>
  <c r="W76" i="13"/>
  <c r="W75" i="13"/>
  <c r="W64" i="13"/>
  <c r="W63" i="13"/>
  <c r="W62" i="13"/>
  <c r="W61" i="13"/>
  <c r="W60" i="13"/>
  <c r="W59" i="13"/>
  <c r="W58" i="13"/>
  <c r="W57" i="13"/>
  <c r="W53" i="13"/>
  <c r="W52" i="13"/>
  <c r="W51" i="13"/>
  <c r="W50" i="13"/>
  <c r="W49" i="13"/>
  <c r="W48" i="13"/>
  <c r="W47" i="13"/>
  <c r="W46" i="13"/>
  <c r="W45" i="13"/>
  <c r="W44" i="13"/>
  <c r="W43" i="13"/>
  <c r="W37" i="13"/>
  <c r="W36" i="13"/>
  <c r="W35" i="13"/>
  <c r="W34" i="13"/>
  <c r="W32" i="13"/>
  <c r="W31" i="13"/>
  <c r="W30" i="13"/>
  <c r="W28" i="13"/>
  <c r="W27" i="13"/>
  <c r="W26" i="13"/>
  <c r="W25" i="13"/>
  <c r="W24" i="13"/>
  <c r="W23" i="13"/>
  <c r="W22" i="13"/>
  <c r="W21" i="13"/>
  <c r="W20" i="13"/>
  <c r="W19" i="13"/>
  <c r="W15" i="13"/>
  <c r="W14" i="13"/>
  <c r="W13" i="13"/>
  <c r="W12" i="13"/>
  <c r="W9" i="13"/>
  <c r="W8" i="13"/>
  <c r="X65" i="17"/>
  <c r="W65" i="17"/>
  <c r="X54" i="17"/>
  <c r="W54" i="17"/>
  <c r="X29" i="17"/>
  <c r="W29" i="17"/>
  <c r="X16" i="17"/>
  <c r="X74" i="17" s="1"/>
  <c r="X80" i="17" s="1"/>
  <c r="X83" i="17" s="1"/>
  <c r="X85" i="17" s="1"/>
  <c r="X87" i="17" s="1"/>
  <c r="X33" i="17" s="1"/>
  <c r="W16" i="17"/>
  <c r="X9" i="17"/>
  <c r="W9" i="17"/>
  <c r="X8" i="17"/>
  <c r="W8" i="17"/>
  <c r="X74" i="1"/>
  <c r="X80" i="1" s="1"/>
  <c r="X83" i="1" s="1"/>
  <c r="X85" i="1" s="1"/>
  <c r="X87" i="1" s="1"/>
  <c r="X33" i="1" s="1"/>
  <c r="X65" i="1"/>
  <c r="W65" i="1"/>
  <c r="X54" i="1"/>
  <c r="W54" i="1"/>
  <c r="W67" i="1" s="1"/>
  <c r="W29" i="1"/>
  <c r="W16" i="1"/>
  <c r="W74" i="1" s="1"/>
  <c r="W80" i="1" s="1"/>
  <c r="W83" i="1" s="1"/>
  <c r="W85" i="1" s="1"/>
  <c r="W87" i="1" s="1"/>
  <c r="W33" i="1" s="1"/>
  <c r="W38" i="1" s="1"/>
  <c r="W40" i="1" s="1"/>
  <c r="X67" i="17" l="1"/>
  <c r="W67" i="17"/>
  <c r="W74" i="17"/>
  <c r="W80" i="17" s="1"/>
  <c r="W83" i="17" s="1"/>
  <c r="W85" i="17" s="1"/>
  <c r="W87" i="17" s="1"/>
  <c r="W33" i="17" s="1"/>
  <c r="W38" i="17" s="1"/>
  <c r="W40" i="17" s="1"/>
  <c r="X38" i="1"/>
  <c r="X40" i="1" s="1"/>
  <c r="X33" i="13"/>
  <c r="X38" i="13" s="1"/>
  <c r="X40" i="13" s="1"/>
  <c r="X67" i="1"/>
  <c r="W29" i="13"/>
  <c r="W16" i="13"/>
  <c r="W65" i="13"/>
  <c r="W54" i="13"/>
  <c r="X38" i="17"/>
  <c r="X40" i="17" s="1"/>
  <c r="W33" i="13" l="1"/>
  <c r="W74" i="13"/>
  <c r="W80" i="13" s="1"/>
  <c r="W83" i="13" s="1"/>
  <c r="W85" i="13" s="1"/>
  <c r="W87" i="13" s="1"/>
  <c r="W93" i="13" s="1"/>
  <c r="W67" i="13"/>
  <c r="W38" i="13"/>
  <c r="W40" i="13" s="1"/>
  <c r="U86" i="13" l="1"/>
  <c r="T86" i="13"/>
  <c r="U79" i="13"/>
  <c r="T79" i="13"/>
  <c r="U78" i="13"/>
  <c r="T78" i="13"/>
  <c r="U77" i="13"/>
  <c r="T77" i="13"/>
  <c r="U76" i="13"/>
  <c r="T76" i="13"/>
  <c r="U75" i="13"/>
  <c r="T75" i="13"/>
  <c r="U64" i="13"/>
  <c r="T64" i="13"/>
  <c r="U63" i="13"/>
  <c r="T63" i="13"/>
  <c r="U62" i="13"/>
  <c r="T62" i="13"/>
  <c r="U61" i="13"/>
  <c r="T61" i="13"/>
  <c r="U60" i="13"/>
  <c r="T60" i="13"/>
  <c r="U59" i="13"/>
  <c r="T59" i="13"/>
  <c r="U58" i="13"/>
  <c r="T58" i="13"/>
  <c r="U57" i="13"/>
  <c r="T57" i="13"/>
  <c r="U53" i="13"/>
  <c r="T53" i="13"/>
  <c r="U52" i="13"/>
  <c r="T52" i="13"/>
  <c r="U51" i="13"/>
  <c r="T51" i="13"/>
  <c r="U50" i="13"/>
  <c r="T50" i="13"/>
  <c r="U49" i="13"/>
  <c r="T49" i="13"/>
  <c r="U48" i="13"/>
  <c r="T48" i="13"/>
  <c r="U47" i="13"/>
  <c r="T47" i="13"/>
  <c r="U46" i="13"/>
  <c r="T46" i="13"/>
  <c r="U45" i="13"/>
  <c r="T45" i="13"/>
  <c r="U44" i="13"/>
  <c r="T44" i="13"/>
  <c r="U43" i="13"/>
  <c r="T43" i="13"/>
  <c r="U37" i="13"/>
  <c r="T37" i="13"/>
  <c r="U36" i="13"/>
  <c r="T36" i="13"/>
  <c r="U35" i="13"/>
  <c r="T35" i="13"/>
  <c r="U34" i="13"/>
  <c r="T34" i="13"/>
  <c r="U32" i="13"/>
  <c r="T32" i="13"/>
  <c r="U31" i="13"/>
  <c r="T31" i="13"/>
  <c r="U30" i="13"/>
  <c r="T30" i="13"/>
  <c r="U28" i="13"/>
  <c r="T28" i="13"/>
  <c r="U27" i="13"/>
  <c r="T27" i="13"/>
  <c r="U26" i="13"/>
  <c r="T26" i="13"/>
  <c r="U25" i="13"/>
  <c r="T25" i="13"/>
  <c r="U24" i="13"/>
  <c r="T24" i="13"/>
  <c r="U21" i="13"/>
  <c r="T21" i="13"/>
  <c r="U20" i="13"/>
  <c r="T20" i="13"/>
  <c r="T19" i="13"/>
  <c r="U15" i="13"/>
  <c r="T15" i="13"/>
  <c r="T14" i="13"/>
  <c r="U13" i="13"/>
  <c r="T13" i="13"/>
  <c r="U12" i="13"/>
  <c r="T12" i="13"/>
  <c r="U19" i="13"/>
  <c r="U23" i="13"/>
  <c r="U22" i="13"/>
  <c r="U14" i="13"/>
  <c r="U65" i="17"/>
  <c r="T65" i="17"/>
  <c r="T67" i="17" s="1"/>
  <c r="U54" i="17"/>
  <c r="T54" i="17"/>
  <c r="T29" i="17"/>
  <c r="T16" i="17"/>
  <c r="U65" i="1"/>
  <c r="T65" i="1"/>
  <c r="U54" i="1"/>
  <c r="T54" i="1"/>
  <c r="U29" i="1"/>
  <c r="U16" i="1"/>
  <c r="T16" i="1"/>
  <c r="T74" i="17" l="1"/>
  <c r="T80" i="17" s="1"/>
  <c r="T83" i="17" s="1"/>
  <c r="T85" i="17" s="1"/>
  <c r="T87" i="17" s="1"/>
  <c r="T33" i="17" s="1"/>
  <c r="U16" i="17"/>
  <c r="T16" i="13"/>
  <c r="T54" i="13"/>
  <c r="T65" i="13"/>
  <c r="U16" i="13"/>
  <c r="U29" i="13"/>
  <c r="U67" i="17"/>
  <c r="U54" i="13"/>
  <c r="U65" i="13"/>
  <c r="U29" i="17"/>
  <c r="U74" i="1"/>
  <c r="U80" i="1" s="1"/>
  <c r="U83" i="1" s="1"/>
  <c r="U85" i="1" s="1"/>
  <c r="U87" i="1" s="1"/>
  <c r="U33" i="1" s="1"/>
  <c r="T38" i="17" l="1"/>
  <c r="T40" i="17" s="1"/>
  <c r="U38" i="1"/>
  <c r="U40" i="1" s="1"/>
  <c r="U74" i="13"/>
  <c r="U80" i="13" s="1"/>
  <c r="U83" i="13" s="1"/>
  <c r="U85" i="13" s="1"/>
  <c r="U87" i="13" s="1"/>
  <c r="U93" i="13" s="1"/>
  <c r="U67" i="13"/>
  <c r="T67" i="13"/>
  <c r="U74" i="17"/>
  <c r="U80" i="17" s="1"/>
  <c r="U83" i="17" s="1"/>
  <c r="U85" i="17" s="1"/>
  <c r="U87" i="17" s="1"/>
  <c r="U33" i="17" s="1"/>
  <c r="U33" i="13" s="1"/>
  <c r="U38" i="13" s="1"/>
  <c r="U40" i="13" s="1"/>
  <c r="U38" i="17" l="1"/>
  <c r="U40" i="17" s="1"/>
  <c r="T23" i="13"/>
  <c r="U9" i="13"/>
  <c r="T9" i="13"/>
  <c r="U8" i="13"/>
  <c r="T8" i="13"/>
  <c r="T22" i="13" l="1"/>
  <c r="T29" i="13" s="1"/>
  <c r="T29" i="1"/>
  <c r="T74" i="1" l="1"/>
  <c r="T80" i="1" s="1"/>
  <c r="T83" i="1" s="1"/>
  <c r="T85" i="1" s="1"/>
  <c r="T87" i="1" s="1"/>
  <c r="T33" i="1" s="1"/>
  <c r="T74" i="13"/>
  <c r="T80" i="13" s="1"/>
  <c r="T83" i="13" s="1"/>
  <c r="T85" i="13" s="1"/>
  <c r="T87" i="13" s="1"/>
  <c r="T93" i="13" s="1"/>
  <c r="T33" i="13" l="1"/>
  <c r="T38" i="13" s="1"/>
  <c r="T40" i="13" s="1"/>
  <c r="T38" i="1"/>
  <c r="T40" i="1" s="1"/>
  <c r="V9" i="17" l="1"/>
  <c r="U9" i="17"/>
  <c r="T9" i="17"/>
  <c r="V8" i="17"/>
  <c r="U8" i="17"/>
  <c r="T8" i="17"/>
  <c r="I27" i="13" l="1"/>
  <c r="I20" i="13"/>
  <c r="F28" i="13"/>
  <c r="F29" i="17" l="1"/>
  <c r="F15" i="13"/>
  <c r="I29" i="1"/>
  <c r="I19" i="13"/>
  <c r="I21" i="13"/>
  <c r="I22" i="13"/>
  <c r="I23" i="13"/>
  <c r="I24" i="13"/>
  <c r="I25" i="13"/>
  <c r="I26" i="13"/>
  <c r="I28" i="13"/>
  <c r="I29" i="17" l="1"/>
  <c r="Q63" i="15" l="1"/>
  <c r="A2" i="17" l="1"/>
  <c r="A2" i="1"/>
  <c r="BB64" i="13" l="1"/>
  <c r="BB63" i="13"/>
  <c r="BB62" i="13"/>
  <c r="BB61" i="13"/>
  <c r="BB60" i="13"/>
  <c r="BB58" i="13"/>
  <c r="BB53" i="13"/>
  <c r="BB52" i="13"/>
  <c r="BB51" i="13"/>
  <c r="BB50" i="13"/>
  <c r="BB49" i="13"/>
  <c r="BB48" i="13"/>
  <c r="BB47" i="13"/>
  <c r="BB46" i="13"/>
  <c r="BB45" i="13"/>
  <c r="BB44" i="13"/>
  <c r="BB57" i="13"/>
  <c r="BB59" i="13"/>
  <c r="BB43" i="13"/>
  <c r="E12" i="13" l="1"/>
  <c r="AR25" i="13" l="1"/>
  <c r="B84" i="13" l="1"/>
  <c r="B56" i="13"/>
  <c r="B42" i="13"/>
  <c r="B39" i="13"/>
  <c r="V22" i="13" l="1"/>
  <c r="V19" i="13"/>
  <c r="V14" i="13"/>
  <c r="V86" i="13"/>
  <c r="V79" i="13"/>
  <c r="V78" i="13"/>
  <c r="V77" i="13"/>
  <c r="V76" i="13"/>
  <c r="V75" i="13"/>
  <c r="V64" i="13"/>
  <c r="V63" i="13"/>
  <c r="V62" i="13"/>
  <c r="V61" i="13"/>
  <c r="V60" i="13"/>
  <c r="V59" i="13"/>
  <c r="V58" i="13"/>
  <c r="V57" i="13"/>
  <c r="V53" i="13"/>
  <c r="V52" i="13"/>
  <c r="V51" i="13"/>
  <c r="V50" i="13"/>
  <c r="V49" i="13"/>
  <c r="V48" i="13"/>
  <c r="V47" i="13"/>
  <c r="V46" i="13"/>
  <c r="V45" i="13"/>
  <c r="V44" i="13"/>
  <c r="V43" i="13"/>
  <c r="V37" i="13"/>
  <c r="V36" i="13"/>
  <c r="V35" i="13"/>
  <c r="V34" i="13"/>
  <c r="V32" i="13"/>
  <c r="V31" i="13"/>
  <c r="V30" i="13"/>
  <c r="V28" i="13"/>
  <c r="V27" i="13"/>
  <c r="V26" i="13"/>
  <c r="V25" i="13"/>
  <c r="V24" i="13"/>
  <c r="V23" i="13"/>
  <c r="V21" i="13"/>
  <c r="V20" i="13"/>
  <c r="V15" i="13"/>
  <c r="V13" i="13"/>
  <c r="V12" i="13"/>
  <c r="V9" i="13"/>
  <c r="C32" i="16" s="1" a="1"/>
  <c r="V8" i="13"/>
  <c r="B32" i="16" s="1" a="1"/>
  <c r="BB86" i="13"/>
  <c r="BA86" i="13"/>
  <c r="AZ86" i="13"/>
  <c r="AY86" i="13"/>
  <c r="AX86" i="13"/>
  <c r="AW86" i="13"/>
  <c r="AV86" i="13"/>
  <c r="AU86" i="13"/>
  <c r="BB79" i="13"/>
  <c r="BA79" i="13"/>
  <c r="AZ79" i="13"/>
  <c r="AV79" i="13"/>
  <c r="AU79" i="13"/>
  <c r="BB78" i="13"/>
  <c r="BA78" i="13"/>
  <c r="AZ78" i="13"/>
  <c r="AY78" i="13"/>
  <c r="AX78" i="13"/>
  <c r="AV78" i="13"/>
  <c r="AU78" i="13"/>
  <c r="BB77" i="13"/>
  <c r="BA77" i="13"/>
  <c r="AZ77" i="13"/>
  <c r="AY77" i="13"/>
  <c r="AX77" i="13"/>
  <c r="AW77" i="13"/>
  <c r="AV77" i="13"/>
  <c r="AU77" i="13"/>
  <c r="BB76" i="13"/>
  <c r="BA76" i="13"/>
  <c r="AZ76" i="13"/>
  <c r="AY76" i="13"/>
  <c r="AX76" i="13"/>
  <c r="AW76" i="13"/>
  <c r="AV76" i="13"/>
  <c r="AU76" i="13"/>
  <c r="BB75" i="13"/>
  <c r="BA75" i="13"/>
  <c r="AZ75" i="13"/>
  <c r="AY75" i="13"/>
  <c r="AX75" i="13"/>
  <c r="AW75" i="13"/>
  <c r="AV75" i="13"/>
  <c r="AU75" i="13"/>
  <c r="BA64" i="13"/>
  <c r="AZ64" i="13"/>
  <c r="AY64" i="13"/>
  <c r="AX64" i="13"/>
  <c r="AW64" i="13"/>
  <c r="AV64" i="13"/>
  <c r="AU64" i="13"/>
  <c r="BA63" i="13"/>
  <c r="AZ63" i="13"/>
  <c r="AX63" i="13"/>
  <c r="AW63" i="13"/>
  <c r="AV63" i="13"/>
  <c r="AU63" i="13"/>
  <c r="BA62" i="13"/>
  <c r="AY62" i="13"/>
  <c r="AX62" i="13"/>
  <c r="AW62" i="13"/>
  <c r="AV62" i="13"/>
  <c r="AU62" i="13"/>
  <c r="BA61" i="13"/>
  <c r="AZ61" i="13"/>
  <c r="AY61" i="13"/>
  <c r="AX61" i="13"/>
  <c r="AW61" i="13"/>
  <c r="AV61" i="13"/>
  <c r="AU61" i="13"/>
  <c r="BA60" i="13"/>
  <c r="AZ60" i="13"/>
  <c r="AY60" i="13"/>
  <c r="AX60" i="13"/>
  <c r="AW60" i="13"/>
  <c r="AV60" i="13"/>
  <c r="AU60" i="13"/>
  <c r="BA59" i="13"/>
  <c r="AZ59" i="13"/>
  <c r="AY59" i="13"/>
  <c r="AX59" i="13"/>
  <c r="AV59" i="13"/>
  <c r="AU59" i="13"/>
  <c r="BA58" i="13"/>
  <c r="AZ58" i="13"/>
  <c r="AY58" i="13"/>
  <c r="AX58" i="13"/>
  <c r="AW58" i="13"/>
  <c r="AV58" i="13"/>
  <c r="AU58" i="13"/>
  <c r="BA57" i="13"/>
  <c r="AZ57" i="13"/>
  <c r="AY57" i="13"/>
  <c r="AX57" i="13"/>
  <c r="AW57" i="13"/>
  <c r="AV57" i="13"/>
  <c r="AU57" i="13"/>
  <c r="BA53" i="13"/>
  <c r="AZ53" i="13"/>
  <c r="AY53" i="13"/>
  <c r="AX53" i="13"/>
  <c r="AW53" i="13"/>
  <c r="AV53" i="13"/>
  <c r="AU53" i="13"/>
  <c r="BA52" i="13"/>
  <c r="AZ52" i="13"/>
  <c r="AY52" i="13"/>
  <c r="AX52" i="13"/>
  <c r="AW52" i="13"/>
  <c r="AV52" i="13"/>
  <c r="AU52" i="13"/>
  <c r="BA51" i="13"/>
  <c r="AZ51" i="13"/>
  <c r="AY51" i="13"/>
  <c r="AX51" i="13"/>
  <c r="AW51" i="13"/>
  <c r="AV51" i="13"/>
  <c r="BA50" i="13"/>
  <c r="AZ50" i="13"/>
  <c r="AY50" i="13"/>
  <c r="AX50" i="13"/>
  <c r="AW50" i="13"/>
  <c r="AV50" i="13"/>
  <c r="BA49" i="13"/>
  <c r="AZ49" i="13"/>
  <c r="AY49" i="13"/>
  <c r="AX49" i="13"/>
  <c r="AW49" i="13"/>
  <c r="AV49" i="13"/>
  <c r="BA48" i="13"/>
  <c r="AZ48" i="13"/>
  <c r="AY48" i="13"/>
  <c r="AX48" i="13"/>
  <c r="AW48" i="13"/>
  <c r="BA47" i="13"/>
  <c r="AZ47" i="13"/>
  <c r="AY47" i="13"/>
  <c r="AX47" i="13"/>
  <c r="AW47" i="13"/>
  <c r="AV47" i="13"/>
  <c r="AU47" i="13"/>
  <c r="BA46" i="13"/>
  <c r="AZ46" i="13"/>
  <c r="AY46" i="13"/>
  <c r="AX46" i="13"/>
  <c r="AW46" i="13"/>
  <c r="AV46" i="13"/>
  <c r="AU46" i="13"/>
  <c r="BA45" i="13"/>
  <c r="AZ45" i="13"/>
  <c r="AY45" i="13"/>
  <c r="AX45" i="13"/>
  <c r="AU45" i="13"/>
  <c r="BA44" i="13"/>
  <c r="AZ44" i="13"/>
  <c r="AY44" i="13"/>
  <c r="AX44" i="13"/>
  <c r="AW44" i="13"/>
  <c r="AV44" i="13"/>
  <c r="AU44" i="13"/>
  <c r="BA43" i="13"/>
  <c r="AZ43" i="13"/>
  <c r="AY43" i="13"/>
  <c r="AW43" i="13"/>
  <c r="AV43" i="13"/>
  <c r="AU43" i="13"/>
  <c r="BB37" i="13"/>
  <c r="BA37" i="13"/>
  <c r="AY37" i="13"/>
  <c r="AX37" i="13"/>
  <c r="AW37" i="13"/>
  <c r="AV37" i="13"/>
  <c r="AU37" i="13"/>
  <c r="BB36" i="13"/>
  <c r="BA36" i="13"/>
  <c r="AZ36" i="13"/>
  <c r="AY36" i="13"/>
  <c r="AX36" i="13"/>
  <c r="AW36" i="13"/>
  <c r="AV36" i="13"/>
  <c r="AU36" i="13"/>
  <c r="BB35" i="13"/>
  <c r="BA35" i="13"/>
  <c r="AZ35" i="13"/>
  <c r="AY35" i="13"/>
  <c r="AX35" i="13"/>
  <c r="AW35" i="13"/>
  <c r="AV35" i="13"/>
  <c r="AU35" i="13"/>
  <c r="BB34" i="13"/>
  <c r="BA34" i="13"/>
  <c r="AZ34" i="13"/>
  <c r="AY34" i="13"/>
  <c r="AX34" i="13"/>
  <c r="AW34" i="13"/>
  <c r="AV34" i="13"/>
  <c r="AU34" i="13"/>
  <c r="BB32" i="13"/>
  <c r="BA32" i="13"/>
  <c r="AZ32" i="13"/>
  <c r="AY32" i="13"/>
  <c r="AX32" i="13"/>
  <c r="AW32" i="13"/>
  <c r="AV32" i="13"/>
  <c r="AU32" i="13"/>
  <c r="BB31" i="13"/>
  <c r="BA31" i="13"/>
  <c r="AZ31" i="13"/>
  <c r="AY31" i="13"/>
  <c r="AX31" i="13"/>
  <c r="AW31" i="13"/>
  <c r="AV31" i="13"/>
  <c r="AU31" i="13"/>
  <c r="BA30" i="13"/>
  <c r="AZ30" i="13"/>
  <c r="AY30" i="13"/>
  <c r="AW30" i="13"/>
  <c r="AV30" i="13"/>
  <c r="AU30" i="13"/>
  <c r="BB28" i="13"/>
  <c r="BA28" i="13"/>
  <c r="AZ28" i="13"/>
  <c r="AY28" i="13"/>
  <c r="AX28" i="13"/>
  <c r="AW28" i="13"/>
  <c r="AV28" i="13"/>
  <c r="AU28" i="13"/>
  <c r="BB27" i="13"/>
  <c r="BA27" i="13"/>
  <c r="AZ27" i="13"/>
  <c r="AY27" i="13"/>
  <c r="AX27" i="13"/>
  <c r="AW27" i="13"/>
  <c r="AV27" i="13"/>
  <c r="AU27" i="13"/>
  <c r="BB26" i="13"/>
  <c r="BA26" i="13"/>
  <c r="AZ26" i="13"/>
  <c r="AY26" i="13"/>
  <c r="AX26" i="13"/>
  <c r="AW26" i="13"/>
  <c r="AV26" i="13"/>
  <c r="AU26" i="13"/>
  <c r="BB25" i="13"/>
  <c r="BA25" i="13"/>
  <c r="AZ25" i="13"/>
  <c r="AY25" i="13"/>
  <c r="AX25" i="13"/>
  <c r="AW25" i="13"/>
  <c r="AV25" i="13"/>
  <c r="AU25" i="13"/>
  <c r="BB24" i="13"/>
  <c r="BA24" i="13"/>
  <c r="AZ24" i="13"/>
  <c r="AY24" i="13"/>
  <c r="AX24" i="13"/>
  <c r="AW24" i="13"/>
  <c r="AV24" i="13"/>
  <c r="AU24" i="13"/>
  <c r="BB23" i="13"/>
  <c r="BA23" i="13"/>
  <c r="AZ23" i="13"/>
  <c r="AY23" i="13"/>
  <c r="AX23" i="13"/>
  <c r="AW23" i="13"/>
  <c r="AV23" i="13"/>
  <c r="AU23" i="13"/>
  <c r="BB22" i="13"/>
  <c r="BA22" i="13"/>
  <c r="AZ22" i="13"/>
  <c r="AY22" i="13"/>
  <c r="AX22" i="13"/>
  <c r="AW22" i="13"/>
  <c r="AV22" i="13"/>
  <c r="AU22" i="13"/>
  <c r="BA21" i="13"/>
  <c r="AZ21" i="13"/>
  <c r="AY21" i="13"/>
  <c r="AX21" i="13"/>
  <c r="AW21" i="13"/>
  <c r="AV21" i="13"/>
  <c r="AU21" i="13"/>
  <c r="BB20" i="13"/>
  <c r="BA20" i="13"/>
  <c r="AZ20" i="13"/>
  <c r="AY20" i="13"/>
  <c r="AX20" i="13"/>
  <c r="AW20" i="13"/>
  <c r="AV20" i="13"/>
  <c r="AU20" i="13"/>
  <c r="BB19" i="13"/>
  <c r="BA19" i="13"/>
  <c r="AZ19" i="13"/>
  <c r="AY19" i="13"/>
  <c r="AX19" i="13"/>
  <c r="AW19" i="13"/>
  <c r="AV19" i="13"/>
  <c r="AU19" i="13"/>
  <c r="BB15" i="13"/>
  <c r="AZ15" i="13"/>
  <c r="AY15" i="13"/>
  <c r="AX15" i="13"/>
  <c r="AW15" i="13"/>
  <c r="AV15" i="13"/>
  <c r="AU15" i="13"/>
  <c r="BB14" i="13"/>
  <c r="BA14" i="13"/>
  <c r="AZ14" i="13"/>
  <c r="AY14" i="13"/>
  <c r="AX14" i="13"/>
  <c r="AW14" i="13"/>
  <c r="AV14" i="13"/>
  <c r="AU14" i="13"/>
  <c r="BB13" i="13"/>
  <c r="BA13" i="13"/>
  <c r="AZ13" i="13"/>
  <c r="AY13" i="13"/>
  <c r="AX13" i="13"/>
  <c r="AW13" i="13"/>
  <c r="AV13" i="13"/>
  <c r="AU13" i="13"/>
  <c r="BB12" i="13"/>
  <c r="BA12" i="13"/>
  <c r="AZ12" i="13"/>
  <c r="AY12" i="13"/>
  <c r="AX12" i="13"/>
  <c r="AW12" i="13"/>
  <c r="AV12" i="13"/>
  <c r="AU12" i="13"/>
  <c r="BB9" i="13"/>
  <c r="BA9" i="13"/>
  <c r="AZ9" i="13"/>
  <c r="AY9" i="13"/>
  <c r="AX9" i="13"/>
  <c r="AW9" i="13"/>
  <c r="AV9" i="13"/>
  <c r="AU9" i="13"/>
  <c r="BB8" i="13"/>
  <c r="BA8" i="13"/>
  <c r="AZ8" i="13"/>
  <c r="AY8" i="13"/>
  <c r="AX8" i="13"/>
  <c r="AW8" i="13"/>
  <c r="AV8" i="13"/>
  <c r="AU8" i="13"/>
  <c r="AT86" i="13"/>
  <c r="AT77" i="13"/>
  <c r="AT76" i="13"/>
  <c r="AT75" i="13"/>
  <c r="AT64" i="13"/>
  <c r="AT63" i="13"/>
  <c r="AT62" i="13"/>
  <c r="AT61" i="13"/>
  <c r="AT60" i="13"/>
  <c r="AT58" i="13"/>
  <c r="AT57" i="13"/>
  <c r="AT53" i="13"/>
  <c r="AT52" i="13"/>
  <c r="AT51" i="13"/>
  <c r="AT50" i="13"/>
  <c r="AT49" i="13"/>
  <c r="AT48" i="13"/>
  <c r="AT47" i="13"/>
  <c r="AT46" i="13"/>
  <c r="AT45" i="13"/>
  <c r="AT44" i="13"/>
  <c r="AT43" i="13"/>
  <c r="AT37" i="13"/>
  <c r="AT36" i="13"/>
  <c r="AT34" i="13"/>
  <c r="AT32" i="13"/>
  <c r="AT31" i="13"/>
  <c r="AT30" i="13"/>
  <c r="AT28" i="13"/>
  <c r="AT27" i="13"/>
  <c r="AT26" i="13"/>
  <c r="AT25" i="13"/>
  <c r="AT24" i="13"/>
  <c r="AT23" i="13"/>
  <c r="AT22" i="13"/>
  <c r="AT21" i="13"/>
  <c r="AT20" i="13"/>
  <c r="AT19" i="13"/>
  <c r="AT15" i="13"/>
  <c r="AT14" i="13"/>
  <c r="AT13" i="13"/>
  <c r="AT12" i="13"/>
  <c r="AT9" i="13"/>
  <c r="AT8" i="13"/>
  <c r="B32" i="16" l="1"/>
  <c r="B35" i="16"/>
  <c r="B34" i="16"/>
  <c r="B33" i="16"/>
  <c r="B36" i="16"/>
  <c r="C33" i="16"/>
  <c r="C36" i="16"/>
  <c r="C35" i="16"/>
  <c r="C32" i="16"/>
  <c r="C34" i="16"/>
  <c r="AY54" i="13"/>
  <c r="AX16" i="13"/>
  <c r="BA54" i="13"/>
  <c r="AZ54" i="13"/>
  <c r="AV65" i="13"/>
  <c r="AW16" i="13"/>
  <c r="AT16" i="13"/>
  <c r="AT29" i="13"/>
  <c r="AT54" i="13"/>
  <c r="AV16" i="13"/>
  <c r="AZ16" i="13"/>
  <c r="J23" i="11"/>
  <c r="AX65" i="13"/>
  <c r="BB54" i="13"/>
  <c r="V29" i="13"/>
  <c r="V54" i="13"/>
  <c r="BB16" i="13"/>
  <c r="AU29" i="13"/>
  <c r="AY29" i="13"/>
  <c r="BB65" i="13"/>
  <c r="BA65" i="13"/>
  <c r="V16" i="13"/>
  <c r="V65" i="13"/>
  <c r="AU16" i="13"/>
  <c r="AY16" i="13"/>
  <c r="AV29" i="13"/>
  <c r="AZ29" i="13"/>
  <c r="AU65" i="13"/>
  <c r="AW29" i="13"/>
  <c r="BA29" i="13"/>
  <c r="AX29" i="13"/>
  <c r="AU74" i="13" l="1"/>
  <c r="AU80" i="13" s="1"/>
  <c r="AU83" i="13" s="1"/>
  <c r="AU85" i="13" s="1"/>
  <c r="AU87" i="13" s="1"/>
  <c r="AU93" i="13" s="1"/>
  <c r="BA67" i="13"/>
  <c r="BB67" i="13"/>
  <c r="AT74" i="13"/>
  <c r="AW74" i="13"/>
  <c r="AY74" i="13"/>
  <c r="AV74" i="13"/>
  <c r="AV80" i="13" s="1"/>
  <c r="AV83" i="13" s="1"/>
  <c r="V74" i="13"/>
  <c r="V80" i="13" s="1"/>
  <c r="V83" i="13" s="1"/>
  <c r="V67" i="13"/>
  <c r="E32" i="16" s="1" a="1"/>
  <c r="E32" i="16" l="1"/>
  <c r="E34" i="16"/>
  <c r="E36" i="16"/>
  <c r="E33" i="16"/>
  <c r="E35" i="16"/>
  <c r="AV85" i="13"/>
  <c r="AV87" i="13" s="1"/>
  <c r="AV93" i="13" s="1"/>
  <c r="V85" i="13"/>
  <c r="V87" i="13" s="1"/>
  <c r="V93" i="13" s="1"/>
  <c r="AW45" i="13"/>
  <c r="AW54" i="13" s="1"/>
  <c r="AW79" i="13"/>
  <c r="AW78" i="13"/>
  <c r="AW59" i="13"/>
  <c r="AW65" i="13" s="1"/>
  <c r="AW80" i="13" l="1"/>
  <c r="AW83" i="13" s="1"/>
  <c r="AW67" i="13"/>
  <c r="AT79" i="13"/>
  <c r="AT78" i="13"/>
  <c r="AT59" i="13"/>
  <c r="AT65" i="13" s="1"/>
  <c r="AT67" i="13" s="1"/>
  <c r="AT35" i="13"/>
  <c r="AW85" i="13" l="1"/>
  <c r="AW87" i="13" s="1"/>
  <c r="AW93" i="13" s="1"/>
  <c r="AT80" i="13"/>
  <c r="AT83" i="13" s="1"/>
  <c r="AT65" i="17"/>
  <c r="AT54" i="17"/>
  <c r="AT29" i="17"/>
  <c r="AT16" i="17"/>
  <c r="AT9" i="17"/>
  <c r="AT8" i="17"/>
  <c r="AT85" i="13" l="1"/>
  <c r="AT87" i="13" s="1"/>
  <c r="AT93" i="13" s="1"/>
  <c r="AT67" i="17"/>
  <c r="AT74" i="17"/>
  <c r="AT80" i="17" s="1"/>
  <c r="AT83" i="17" s="1"/>
  <c r="AT85" i="17" l="1"/>
  <c r="AT87" i="17" s="1"/>
  <c r="AT33" i="17" s="1"/>
  <c r="AT38" i="17" s="1"/>
  <c r="AT40" i="17" s="1"/>
  <c r="BB30" i="13" l="1"/>
  <c r="BB21" i="13"/>
  <c r="BB29" i="13" s="1"/>
  <c r="BB74" i="13" l="1"/>
  <c r="BB80" i="13" s="1"/>
  <c r="BB83" i="13" s="1"/>
  <c r="BA15" i="13"/>
  <c r="BA16" i="13" s="1"/>
  <c r="BA74" i="13" s="1"/>
  <c r="BA80" i="13" s="1"/>
  <c r="BA83" i="13" s="1"/>
  <c r="BA85" i="13" l="1"/>
  <c r="BA87" i="13" s="1"/>
  <c r="BA93" i="13" s="1"/>
  <c r="BB85" i="13"/>
  <c r="BB87" i="13" s="1"/>
  <c r="BB93" i="13" s="1"/>
  <c r="AZ37" i="13"/>
  <c r="AZ74" i="13" s="1"/>
  <c r="AZ80" i="13" s="1"/>
  <c r="AZ83" i="13" s="1"/>
  <c r="AZ85" i="13" l="1"/>
  <c r="AZ87" i="13" s="1"/>
  <c r="AZ93" i="13" s="1"/>
  <c r="AZ62" i="13"/>
  <c r="AZ65" i="13" s="1"/>
  <c r="AY79" i="13"/>
  <c r="AY80" i="13" s="1"/>
  <c r="AY83" i="13" s="1"/>
  <c r="AZ67" i="13" l="1"/>
  <c r="AY85" i="13"/>
  <c r="AY87" i="13" s="1"/>
  <c r="AY93" i="13" s="1"/>
  <c r="AY63" i="13"/>
  <c r="AY65" i="13" s="1"/>
  <c r="AY67" i="13" s="1"/>
  <c r="AX79" i="13"/>
  <c r="AX43" i="13"/>
  <c r="AX54" i="13" s="1"/>
  <c r="AX67" i="13" s="1"/>
  <c r="AX30" i="13"/>
  <c r="AX74" i="13" s="1"/>
  <c r="AX80" i="13" l="1"/>
  <c r="AX83" i="13" s="1"/>
  <c r="AV45" i="13"/>
  <c r="AV48" i="13"/>
  <c r="AX85" i="13" l="1"/>
  <c r="AX87" i="13" s="1"/>
  <c r="AX93" i="13" s="1"/>
  <c r="AU51" i="13"/>
  <c r="AU48" i="13"/>
  <c r="AV54" i="13"/>
  <c r="AV67" i="13" s="1"/>
  <c r="AU49" i="13"/>
  <c r="AU50" i="13"/>
  <c r="AT65" i="1"/>
  <c r="AT54" i="1"/>
  <c r="AT29" i="1"/>
  <c r="AT16" i="1"/>
  <c r="AT67" i="1" l="1"/>
  <c r="AT74" i="1"/>
  <c r="AT80" i="1" s="1"/>
  <c r="AT83" i="1" s="1"/>
  <c r="AU54" i="13"/>
  <c r="AU67" i="13" s="1"/>
  <c r="AT85" i="1" l="1"/>
  <c r="AT87" i="1" s="1"/>
  <c r="AT33" i="1" s="1"/>
  <c r="AT33" i="13" l="1"/>
  <c r="AT38" i="13" s="1"/>
  <c r="AT40" i="13" s="1"/>
  <c r="AT38" i="1"/>
  <c r="AT40" i="1" s="1"/>
  <c r="E79" i="10"/>
  <c r="AS86" i="13"/>
  <c r="AR86" i="13"/>
  <c r="AQ86" i="13"/>
  <c r="AP86" i="13"/>
  <c r="AL86" i="13"/>
  <c r="AK86" i="13"/>
  <c r="AJ86" i="13"/>
  <c r="AI86" i="13"/>
  <c r="AH86" i="13"/>
  <c r="AG86" i="13"/>
  <c r="AF86" i="13"/>
  <c r="AE86" i="13"/>
  <c r="AD86" i="13"/>
  <c r="AB86" i="13"/>
  <c r="AA86" i="13"/>
  <c r="Z86" i="13"/>
  <c r="Y86" i="13"/>
  <c r="S86" i="13"/>
  <c r="R86" i="13"/>
  <c r="Q86" i="13"/>
  <c r="P86" i="13"/>
  <c r="O86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K61" i="15"/>
  <c r="K50" i="15"/>
  <c r="K47" i="15"/>
  <c r="K27" i="15"/>
  <c r="K22" i="15"/>
  <c r="K12" i="15"/>
  <c r="C6" i="10"/>
  <c r="J75" i="11"/>
  <c r="J75" i="10"/>
  <c r="K33" i="15"/>
  <c r="K80" i="15"/>
  <c r="K63" i="15"/>
  <c r="B86" i="13" l="1"/>
  <c r="K30" i="15"/>
  <c r="K57" i="15"/>
  <c r="K75" i="15"/>
  <c r="K11" i="15"/>
  <c r="K18" i="15"/>
  <c r="K26" i="15"/>
  <c r="K31" i="15"/>
  <c r="K46" i="15"/>
  <c r="K23" i="15"/>
  <c r="K58" i="15"/>
  <c r="K62" i="15"/>
  <c r="K76" i="15"/>
  <c r="K45" i="15"/>
  <c r="K49" i="15"/>
  <c r="K56" i="15"/>
  <c r="K60" i="15"/>
  <c r="K74" i="15"/>
  <c r="J10" i="10"/>
  <c r="J23" i="10"/>
  <c r="K29" i="15"/>
  <c r="K35" i="15"/>
  <c r="K48" i="15"/>
  <c r="J48" i="11"/>
  <c r="K20" i="15"/>
  <c r="K24" i="15"/>
  <c r="K52" i="15"/>
  <c r="K59" i="15"/>
  <c r="K73" i="15"/>
  <c r="K77" i="15"/>
  <c r="J10" i="11"/>
  <c r="J59" i="11"/>
  <c r="K14" i="15"/>
  <c r="K21" i="15"/>
  <c r="K25" i="15"/>
  <c r="K36" i="15"/>
  <c r="K34" i="15"/>
  <c r="K19" i="15"/>
  <c r="K44" i="15"/>
  <c r="J59" i="10"/>
  <c r="K51" i="15"/>
  <c r="J48" i="10"/>
  <c r="K43" i="15"/>
  <c r="K13" i="15"/>
  <c r="K42" i="15"/>
  <c r="C79" i="11"/>
  <c r="C79" i="10"/>
  <c r="M30" i="4"/>
  <c r="J67" i="10" l="1"/>
  <c r="J73" i="10" s="1"/>
  <c r="J76" i="10" s="1"/>
  <c r="J67" i="11"/>
  <c r="J73" i="11" s="1"/>
  <c r="J76" i="11" s="1"/>
  <c r="J78" i="11" s="1"/>
  <c r="J61" i="11"/>
  <c r="K64" i="15"/>
  <c r="K28" i="15"/>
  <c r="J61" i="10"/>
  <c r="K53" i="15"/>
  <c r="K15" i="15"/>
  <c r="J78" i="10" l="1"/>
  <c r="J80" i="10" s="1"/>
  <c r="J32" i="10" s="1"/>
  <c r="J34" i="10" s="1"/>
  <c r="K66" i="15"/>
  <c r="J32" i="11"/>
  <c r="J34" i="11" s="1"/>
  <c r="J80" i="11"/>
  <c r="K72" i="15"/>
  <c r="K78" i="15" l="1"/>
  <c r="K83" i="15" l="1"/>
  <c r="K32" i="15" l="1"/>
  <c r="K37" i="15" s="1"/>
  <c r="K39" i="15" s="1"/>
  <c r="K81" i="15"/>
  <c r="B39" i="17" l="1"/>
  <c r="B39" i="1"/>
  <c r="BB8" i="17" l="1"/>
  <c r="BA8" i="17"/>
  <c r="AZ8" i="17"/>
  <c r="AY8" i="17"/>
  <c r="AX8" i="17"/>
  <c r="AW8" i="17"/>
  <c r="AV8" i="17"/>
  <c r="AU8" i="17"/>
  <c r="AS8" i="17"/>
  <c r="AR8" i="17"/>
  <c r="AQ8" i="17"/>
  <c r="AP8" i="17"/>
  <c r="AL8" i="17"/>
  <c r="AK8" i="17"/>
  <c r="AJ8" i="17"/>
  <c r="AI8" i="17"/>
  <c r="AH8" i="17"/>
  <c r="AG8" i="17"/>
  <c r="AF8" i="17"/>
  <c r="AE8" i="17"/>
  <c r="AD8" i="17"/>
  <c r="AB8" i="17"/>
  <c r="AA8" i="17"/>
  <c r="Z8" i="17"/>
  <c r="Y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J63" i="15" l="1"/>
  <c r="I63" i="15"/>
  <c r="H63" i="15"/>
  <c r="G63" i="15"/>
  <c r="F63" i="15"/>
  <c r="E63" i="15"/>
  <c r="E33" i="15"/>
  <c r="C14" i="11" l="1"/>
  <c r="C16" i="11"/>
  <c r="C18" i="11"/>
  <c r="C20" i="11"/>
  <c r="C22" i="11"/>
  <c r="C25" i="11"/>
  <c r="C18" i="10"/>
  <c r="C20" i="10"/>
  <c r="C22" i="10"/>
  <c r="C52" i="10"/>
  <c r="C72" i="11"/>
  <c r="C71" i="11"/>
  <c r="C24" i="11"/>
  <c r="C17" i="11"/>
  <c r="C19" i="11"/>
  <c r="C21" i="11"/>
  <c r="C31" i="10"/>
  <c r="C30" i="10"/>
  <c r="C17" i="10"/>
  <c r="C19" i="10"/>
  <c r="C21" i="10"/>
  <c r="C6" i="11"/>
  <c r="C7" i="11"/>
  <c r="C8" i="11"/>
  <c r="C29" i="11"/>
  <c r="C30" i="11"/>
  <c r="C31" i="11"/>
  <c r="C37" i="11"/>
  <c r="C38" i="11"/>
  <c r="C39" i="11"/>
  <c r="C40" i="11"/>
  <c r="C41" i="11"/>
  <c r="C42" i="11"/>
  <c r="C43" i="11"/>
  <c r="C44" i="11"/>
  <c r="C45" i="11"/>
  <c r="C46" i="11"/>
  <c r="C47" i="11"/>
  <c r="C51" i="11"/>
  <c r="C52" i="11"/>
  <c r="C53" i="11"/>
  <c r="C54" i="11"/>
  <c r="C55" i="11"/>
  <c r="C56" i="11"/>
  <c r="C57" i="11"/>
  <c r="C69" i="11"/>
  <c r="C7" i="10"/>
  <c r="C8" i="10"/>
  <c r="C9" i="10"/>
  <c r="C13" i="10"/>
  <c r="C14" i="10"/>
  <c r="C15" i="10"/>
  <c r="C25" i="10"/>
  <c r="C38" i="10"/>
  <c r="C39" i="10"/>
  <c r="C40" i="10"/>
  <c r="C41" i="10"/>
  <c r="C42" i="10"/>
  <c r="C43" i="10"/>
  <c r="C44" i="10"/>
  <c r="C45" i="10"/>
  <c r="C46" i="10"/>
  <c r="C47" i="10"/>
  <c r="C55" i="10"/>
  <c r="C56" i="10"/>
  <c r="C57" i="10"/>
  <c r="C69" i="10" l="1"/>
  <c r="C26" i="11" l="1"/>
  <c r="C72" i="10" l="1"/>
  <c r="C71" i="10"/>
  <c r="C24" i="10" l="1"/>
  <c r="C37" i="10"/>
  <c r="C29" i="10"/>
  <c r="C51" i="10"/>
  <c r="C54" i="10"/>
  <c r="C16" i="10"/>
  <c r="C26" i="10" l="1"/>
  <c r="C9" i="11"/>
  <c r="BB9" i="17" l="1"/>
  <c r="BA9" i="17"/>
  <c r="AZ9" i="17"/>
  <c r="AY9" i="17"/>
  <c r="AX9" i="17"/>
  <c r="AW9" i="17"/>
  <c r="AV9" i="17"/>
  <c r="AU9" i="17"/>
  <c r="AS9" i="17"/>
  <c r="AR9" i="17"/>
  <c r="AQ9" i="17"/>
  <c r="AP9" i="17"/>
  <c r="AL9" i="17"/>
  <c r="AK9" i="17"/>
  <c r="AJ9" i="17"/>
  <c r="AI9" i="17"/>
  <c r="AH9" i="17"/>
  <c r="AG9" i="17"/>
  <c r="AF9" i="17"/>
  <c r="AE9" i="17"/>
  <c r="AD9" i="17"/>
  <c r="AB9" i="17"/>
  <c r="AA9" i="17"/>
  <c r="Z9" i="17"/>
  <c r="Y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AS79" i="13" l="1"/>
  <c r="AR79" i="13"/>
  <c r="AQ79" i="13"/>
  <c r="AP79" i="13"/>
  <c r="AL79" i="13"/>
  <c r="AK79" i="13"/>
  <c r="AJ79" i="13"/>
  <c r="AI79" i="13"/>
  <c r="AH79" i="13"/>
  <c r="AG79" i="13"/>
  <c r="AF79" i="13"/>
  <c r="AE79" i="13"/>
  <c r="AD79" i="13"/>
  <c r="AB79" i="13"/>
  <c r="AA79" i="13"/>
  <c r="Z79" i="13"/>
  <c r="Y79" i="13"/>
  <c r="S79" i="13"/>
  <c r="R79" i="13"/>
  <c r="Q79" i="13"/>
  <c r="P79" i="13"/>
  <c r="O79" i="13"/>
  <c r="N79" i="13"/>
  <c r="M79" i="13"/>
  <c r="L79" i="13"/>
  <c r="K79" i="13"/>
  <c r="J79" i="13"/>
  <c r="I79" i="13"/>
  <c r="H79" i="13"/>
  <c r="G79" i="13"/>
  <c r="F79" i="13"/>
  <c r="E79" i="13"/>
  <c r="D79" i="13"/>
  <c r="C79" i="13"/>
  <c r="AS78" i="13"/>
  <c r="AR78" i="13"/>
  <c r="AQ78" i="13"/>
  <c r="AP78" i="13"/>
  <c r="AL78" i="13"/>
  <c r="AK78" i="13"/>
  <c r="AJ78" i="13"/>
  <c r="AI78" i="13"/>
  <c r="AH78" i="13"/>
  <c r="AG78" i="13"/>
  <c r="AF78" i="13"/>
  <c r="AE78" i="13"/>
  <c r="AD78" i="13"/>
  <c r="AB78" i="13"/>
  <c r="AA78" i="13"/>
  <c r="Z78" i="13"/>
  <c r="Y78" i="13"/>
  <c r="S78" i="13"/>
  <c r="R78" i="13"/>
  <c r="Q78" i="13"/>
  <c r="P78" i="13"/>
  <c r="O78" i="13"/>
  <c r="N78" i="13"/>
  <c r="M78" i="13"/>
  <c r="L78" i="13"/>
  <c r="K78" i="13"/>
  <c r="J78" i="13"/>
  <c r="I78" i="13"/>
  <c r="H78" i="13"/>
  <c r="G78" i="13"/>
  <c r="F78" i="13"/>
  <c r="E78" i="13"/>
  <c r="C78" i="13"/>
  <c r="AS77" i="13"/>
  <c r="AR77" i="13"/>
  <c r="AQ77" i="13"/>
  <c r="AP77" i="13"/>
  <c r="AL77" i="13"/>
  <c r="AK77" i="13"/>
  <c r="AJ77" i="13"/>
  <c r="AI77" i="13"/>
  <c r="AH77" i="13"/>
  <c r="AG77" i="13"/>
  <c r="AF77" i="13"/>
  <c r="AE77" i="13"/>
  <c r="AB77" i="13"/>
  <c r="AA77" i="13"/>
  <c r="Z77" i="13"/>
  <c r="Y77" i="13"/>
  <c r="S77" i="13"/>
  <c r="R77" i="13"/>
  <c r="Q77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D77" i="13"/>
  <c r="C77" i="13"/>
  <c r="AS76" i="13"/>
  <c r="AR76" i="13"/>
  <c r="AQ76" i="13"/>
  <c r="AP76" i="13"/>
  <c r="AL76" i="13"/>
  <c r="AK76" i="13"/>
  <c r="AJ76" i="13"/>
  <c r="AI76" i="13"/>
  <c r="AH76" i="13"/>
  <c r="AG76" i="13"/>
  <c r="AF76" i="13"/>
  <c r="AE76" i="13"/>
  <c r="AD76" i="13"/>
  <c r="AB76" i="13"/>
  <c r="AA76" i="13"/>
  <c r="Z76" i="13"/>
  <c r="Y76" i="13"/>
  <c r="S76" i="13"/>
  <c r="R76" i="13"/>
  <c r="Q76" i="13"/>
  <c r="P76" i="13"/>
  <c r="O76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AS75" i="13"/>
  <c r="AR75" i="13"/>
  <c r="AQ75" i="13"/>
  <c r="AP75" i="13"/>
  <c r="AL75" i="13"/>
  <c r="AK75" i="13"/>
  <c r="AJ75" i="13"/>
  <c r="AI75" i="13"/>
  <c r="AH75" i="13"/>
  <c r="AG75" i="13"/>
  <c r="AF75" i="13"/>
  <c r="AE75" i="13"/>
  <c r="AD75" i="13"/>
  <c r="AB75" i="13"/>
  <c r="AA75" i="13"/>
  <c r="Z75" i="13"/>
  <c r="Y75" i="13"/>
  <c r="S75" i="13"/>
  <c r="R75" i="13"/>
  <c r="Q75" i="13"/>
  <c r="P75" i="13"/>
  <c r="O75" i="13"/>
  <c r="N75" i="13"/>
  <c r="M75" i="13"/>
  <c r="L75" i="13"/>
  <c r="K75" i="13"/>
  <c r="J75" i="13"/>
  <c r="I75" i="13"/>
  <c r="H75" i="13"/>
  <c r="G75" i="13"/>
  <c r="F75" i="13"/>
  <c r="E75" i="13"/>
  <c r="D75" i="13"/>
  <c r="C75" i="13"/>
  <c r="AS64" i="13"/>
  <c r="AR64" i="13"/>
  <c r="AQ64" i="13"/>
  <c r="AP64" i="13"/>
  <c r="AL64" i="13"/>
  <c r="AK64" i="13"/>
  <c r="AJ64" i="13"/>
  <c r="AI64" i="13"/>
  <c r="AH64" i="13"/>
  <c r="AG64" i="13"/>
  <c r="AF64" i="13"/>
  <c r="AE64" i="13"/>
  <c r="AD64" i="13"/>
  <c r="AB64" i="13"/>
  <c r="AA64" i="13"/>
  <c r="Z64" i="13"/>
  <c r="Y64" i="13"/>
  <c r="S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AS63" i="13"/>
  <c r="AR63" i="13"/>
  <c r="AQ63" i="13"/>
  <c r="AP63" i="13"/>
  <c r="AL63" i="13"/>
  <c r="AK63" i="13"/>
  <c r="AJ63" i="13"/>
  <c r="AI63" i="13"/>
  <c r="AH63" i="13"/>
  <c r="AG63" i="13"/>
  <c r="AF63" i="13"/>
  <c r="AE63" i="13"/>
  <c r="AD63" i="13"/>
  <c r="AB63" i="13"/>
  <c r="AA63" i="13"/>
  <c r="Z63" i="13"/>
  <c r="Y63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AS62" i="13"/>
  <c r="AR62" i="13"/>
  <c r="AQ62" i="13"/>
  <c r="AP62" i="13"/>
  <c r="AL62" i="13"/>
  <c r="AK62" i="13"/>
  <c r="AJ62" i="13"/>
  <c r="AI62" i="13"/>
  <c r="AH62" i="13"/>
  <c r="AG62" i="13"/>
  <c r="AF62" i="13"/>
  <c r="AE62" i="13"/>
  <c r="AD62" i="13"/>
  <c r="AB62" i="13"/>
  <c r="AA62" i="13"/>
  <c r="Z62" i="13"/>
  <c r="Y62" i="13"/>
  <c r="S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AS61" i="13"/>
  <c r="AR61" i="13"/>
  <c r="AQ61" i="13"/>
  <c r="AP61" i="13"/>
  <c r="AL61" i="13"/>
  <c r="AK61" i="13"/>
  <c r="AJ61" i="13"/>
  <c r="AI61" i="13"/>
  <c r="AH61" i="13"/>
  <c r="AG61" i="13"/>
  <c r="AF61" i="13"/>
  <c r="AE61" i="13"/>
  <c r="AD61" i="13"/>
  <c r="AB61" i="13"/>
  <c r="AA61" i="13"/>
  <c r="Z61" i="13"/>
  <c r="Y61" i="13"/>
  <c r="S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AS60" i="13"/>
  <c r="AR60" i="13"/>
  <c r="AQ60" i="13"/>
  <c r="AP60" i="13"/>
  <c r="AL60" i="13"/>
  <c r="AK60" i="13"/>
  <c r="AJ60" i="13"/>
  <c r="AI60" i="13"/>
  <c r="AH60" i="13"/>
  <c r="AG60" i="13"/>
  <c r="AF60" i="13"/>
  <c r="AE60" i="13"/>
  <c r="AD60" i="13"/>
  <c r="AB60" i="13"/>
  <c r="AA60" i="13"/>
  <c r="Z60" i="13"/>
  <c r="Y60" i="13"/>
  <c r="S60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AS59" i="13"/>
  <c r="AR59" i="13"/>
  <c r="AQ59" i="13"/>
  <c r="AP59" i="13"/>
  <c r="AL59" i="13"/>
  <c r="AK59" i="13"/>
  <c r="AJ59" i="13"/>
  <c r="AH59" i="13"/>
  <c r="AG59" i="13"/>
  <c r="AF59" i="13"/>
  <c r="AE59" i="13"/>
  <c r="AD59" i="13"/>
  <c r="AB59" i="13"/>
  <c r="AA59" i="13"/>
  <c r="Z59" i="13"/>
  <c r="Y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AS58" i="13"/>
  <c r="AR58" i="13"/>
  <c r="AQ58" i="13"/>
  <c r="AP58" i="13"/>
  <c r="AL58" i="13"/>
  <c r="AK58" i="13"/>
  <c r="AJ58" i="13"/>
  <c r="AI58" i="13"/>
  <c r="AH58" i="13"/>
  <c r="AG58" i="13"/>
  <c r="AF58" i="13"/>
  <c r="AE58" i="13"/>
  <c r="AD58" i="13"/>
  <c r="AB58" i="13"/>
  <c r="AA58" i="13"/>
  <c r="Z58" i="13"/>
  <c r="Y58" i="13"/>
  <c r="S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AS57" i="13"/>
  <c r="AR57" i="13"/>
  <c r="AQ57" i="13"/>
  <c r="AP57" i="13"/>
  <c r="AL57" i="13"/>
  <c r="AK57" i="13"/>
  <c r="AJ57" i="13"/>
  <c r="AI57" i="13"/>
  <c r="AH57" i="13"/>
  <c r="AG57" i="13"/>
  <c r="AF57" i="13"/>
  <c r="AE57" i="13"/>
  <c r="AD57" i="13"/>
  <c r="AB57" i="13"/>
  <c r="AA57" i="13"/>
  <c r="Z57" i="13"/>
  <c r="Y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AS53" i="13"/>
  <c r="AR53" i="13"/>
  <c r="AQ53" i="13"/>
  <c r="AP53" i="13"/>
  <c r="AL53" i="13"/>
  <c r="AK53" i="13"/>
  <c r="AJ53" i="13"/>
  <c r="AI53" i="13"/>
  <c r="AH53" i="13"/>
  <c r="AG53" i="13"/>
  <c r="AF53" i="13"/>
  <c r="AE53" i="13"/>
  <c r="AD53" i="13"/>
  <c r="AB53" i="13"/>
  <c r="AA53" i="13"/>
  <c r="Z53" i="13"/>
  <c r="Y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AS52" i="13"/>
  <c r="AR52" i="13"/>
  <c r="AQ52" i="13"/>
  <c r="AP52" i="13"/>
  <c r="AL52" i="13"/>
  <c r="AK52" i="13"/>
  <c r="AJ52" i="13"/>
  <c r="AI52" i="13"/>
  <c r="AH52" i="13"/>
  <c r="AG52" i="13"/>
  <c r="AF52" i="13"/>
  <c r="AE52" i="13"/>
  <c r="AD52" i="13"/>
  <c r="AB52" i="13"/>
  <c r="AA52" i="13"/>
  <c r="Z52" i="13"/>
  <c r="Y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AS51" i="13"/>
  <c r="AR51" i="13"/>
  <c r="AQ51" i="13"/>
  <c r="AP51" i="13"/>
  <c r="AL51" i="13"/>
  <c r="AK51" i="13"/>
  <c r="AJ51" i="13"/>
  <c r="AI51" i="13"/>
  <c r="AH51" i="13"/>
  <c r="AG51" i="13"/>
  <c r="AF51" i="13"/>
  <c r="AE51" i="13"/>
  <c r="AD51" i="13"/>
  <c r="AB51" i="13"/>
  <c r="AA51" i="13"/>
  <c r="Z51" i="13"/>
  <c r="Y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AS50" i="13"/>
  <c r="AR50" i="13"/>
  <c r="AQ50" i="13"/>
  <c r="AP50" i="13"/>
  <c r="AL50" i="13"/>
  <c r="AK50" i="13"/>
  <c r="AJ50" i="13"/>
  <c r="AI50" i="13"/>
  <c r="AH50" i="13"/>
  <c r="AG50" i="13"/>
  <c r="AF50" i="13"/>
  <c r="AE50" i="13"/>
  <c r="AD50" i="13"/>
  <c r="AB50" i="13"/>
  <c r="AA50" i="13"/>
  <c r="Z50" i="13"/>
  <c r="Y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AS49" i="13"/>
  <c r="AR49" i="13"/>
  <c r="AQ49" i="13"/>
  <c r="AP49" i="13"/>
  <c r="AL49" i="13"/>
  <c r="AK49" i="13"/>
  <c r="AJ49" i="13"/>
  <c r="AI49" i="13"/>
  <c r="AH49" i="13"/>
  <c r="AG49" i="13"/>
  <c r="AF49" i="13"/>
  <c r="AE49" i="13"/>
  <c r="AD49" i="13"/>
  <c r="AB49" i="13"/>
  <c r="AA49" i="13"/>
  <c r="Z49" i="13"/>
  <c r="Y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AS48" i="13"/>
  <c r="AR48" i="13"/>
  <c r="AQ48" i="13"/>
  <c r="AP48" i="13"/>
  <c r="AL48" i="13"/>
  <c r="AK48" i="13"/>
  <c r="AJ48" i="13"/>
  <c r="AI48" i="13"/>
  <c r="AH48" i="13"/>
  <c r="AG48" i="13"/>
  <c r="AF48" i="13"/>
  <c r="AE48" i="13"/>
  <c r="AD48" i="13"/>
  <c r="AB48" i="13"/>
  <c r="AA48" i="13"/>
  <c r="Z48" i="13"/>
  <c r="Y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AS47" i="13"/>
  <c r="AR47" i="13"/>
  <c r="AQ47" i="13"/>
  <c r="AP47" i="13"/>
  <c r="AL47" i="13"/>
  <c r="AK47" i="13"/>
  <c r="AJ47" i="13"/>
  <c r="AI47" i="13"/>
  <c r="AH47" i="13"/>
  <c r="AG47" i="13"/>
  <c r="AF47" i="13"/>
  <c r="AE47" i="13"/>
  <c r="AD47" i="13"/>
  <c r="AB47" i="13"/>
  <c r="AA47" i="13"/>
  <c r="Z47" i="13"/>
  <c r="Y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AS46" i="13"/>
  <c r="AR46" i="13"/>
  <c r="AQ46" i="13"/>
  <c r="AP46" i="13"/>
  <c r="AL46" i="13"/>
  <c r="AK46" i="13"/>
  <c r="AJ46" i="13"/>
  <c r="AI46" i="13"/>
  <c r="AH46" i="13"/>
  <c r="AG46" i="13"/>
  <c r="AF46" i="13"/>
  <c r="AE46" i="13"/>
  <c r="AD46" i="13"/>
  <c r="AB46" i="13"/>
  <c r="AA46" i="13"/>
  <c r="Z46" i="13"/>
  <c r="Y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AS45" i="13"/>
  <c r="AR45" i="13"/>
  <c r="AQ45" i="13"/>
  <c r="AP45" i="13"/>
  <c r="AL45" i="13"/>
  <c r="AK45" i="13"/>
  <c r="AJ45" i="13"/>
  <c r="AI45" i="13"/>
  <c r="AH45" i="13"/>
  <c r="AG45" i="13"/>
  <c r="AF45" i="13"/>
  <c r="AE45" i="13"/>
  <c r="AD45" i="13"/>
  <c r="AB45" i="13"/>
  <c r="AA45" i="13"/>
  <c r="Z45" i="13"/>
  <c r="Y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AS44" i="13"/>
  <c r="AR44" i="13"/>
  <c r="AQ44" i="13"/>
  <c r="AP44" i="13"/>
  <c r="AL44" i="13"/>
  <c r="AK44" i="13"/>
  <c r="AJ44" i="13"/>
  <c r="AI44" i="13"/>
  <c r="AH44" i="13"/>
  <c r="AG44" i="13"/>
  <c r="AF44" i="13"/>
  <c r="AE44" i="13"/>
  <c r="AD44" i="13"/>
  <c r="AB44" i="13"/>
  <c r="AA44" i="13"/>
  <c r="Z44" i="13"/>
  <c r="Y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AS43" i="13"/>
  <c r="AR43" i="13"/>
  <c r="AQ43" i="13"/>
  <c r="AP43" i="13"/>
  <c r="AL43" i="13"/>
  <c r="AK43" i="13"/>
  <c r="AJ43" i="13"/>
  <c r="AI43" i="13"/>
  <c r="AH43" i="13"/>
  <c r="AG43" i="13"/>
  <c r="AF43" i="13"/>
  <c r="AE43" i="13"/>
  <c r="AD43" i="13"/>
  <c r="AB43" i="13"/>
  <c r="AA43" i="13"/>
  <c r="Z43" i="13"/>
  <c r="Y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AS37" i="13"/>
  <c r="AR37" i="13"/>
  <c r="AQ37" i="13"/>
  <c r="AP37" i="13"/>
  <c r="AL37" i="13"/>
  <c r="AK37" i="13"/>
  <c r="AJ37" i="13"/>
  <c r="AI37" i="13"/>
  <c r="AH37" i="13"/>
  <c r="AG37" i="13"/>
  <c r="AF37" i="13"/>
  <c r="AE37" i="13"/>
  <c r="AD37" i="13"/>
  <c r="AB37" i="13"/>
  <c r="AA37" i="13"/>
  <c r="Z37" i="13"/>
  <c r="Y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AS36" i="13"/>
  <c r="AR36" i="13"/>
  <c r="AQ36" i="13"/>
  <c r="AP36" i="13"/>
  <c r="AL36" i="13"/>
  <c r="AK36" i="13"/>
  <c r="AJ36" i="13"/>
  <c r="AI36" i="13"/>
  <c r="AH36" i="13"/>
  <c r="AG36" i="13"/>
  <c r="AF36" i="13"/>
  <c r="AE36" i="13"/>
  <c r="AD36" i="13"/>
  <c r="AB36" i="13"/>
  <c r="AA36" i="13"/>
  <c r="Z36" i="13"/>
  <c r="Y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AS35" i="13"/>
  <c r="AR35" i="13"/>
  <c r="AQ35" i="13"/>
  <c r="AP35" i="13"/>
  <c r="AL35" i="13"/>
  <c r="AK35" i="13"/>
  <c r="AJ35" i="13"/>
  <c r="AI35" i="13"/>
  <c r="AH35" i="13"/>
  <c r="AG35" i="13"/>
  <c r="AF35" i="13"/>
  <c r="AE35" i="13"/>
  <c r="AD35" i="13"/>
  <c r="AB35" i="13"/>
  <c r="AA35" i="13"/>
  <c r="Z35" i="13"/>
  <c r="Y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AS34" i="13"/>
  <c r="AR34" i="13"/>
  <c r="AQ34" i="13"/>
  <c r="AP34" i="13"/>
  <c r="AL34" i="13"/>
  <c r="AK34" i="13"/>
  <c r="AJ34" i="13"/>
  <c r="AI34" i="13"/>
  <c r="AH34" i="13"/>
  <c r="AG34" i="13"/>
  <c r="AF34" i="13"/>
  <c r="AE34" i="13"/>
  <c r="AD34" i="13"/>
  <c r="AB34" i="13"/>
  <c r="AA34" i="13"/>
  <c r="Z34" i="13"/>
  <c r="Y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AS32" i="13"/>
  <c r="AR32" i="13"/>
  <c r="AQ32" i="13"/>
  <c r="AP32" i="13"/>
  <c r="AL32" i="13"/>
  <c r="AK32" i="13"/>
  <c r="AJ32" i="13"/>
  <c r="AI32" i="13"/>
  <c r="AH32" i="13"/>
  <c r="AG32" i="13"/>
  <c r="AF32" i="13"/>
  <c r="AE32" i="13"/>
  <c r="AD32" i="13"/>
  <c r="AB32" i="13"/>
  <c r="AA32" i="13"/>
  <c r="Z32" i="13"/>
  <c r="Y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AS31" i="13"/>
  <c r="AR31" i="13"/>
  <c r="AQ31" i="13"/>
  <c r="AP31" i="13"/>
  <c r="AL31" i="13"/>
  <c r="AK31" i="13"/>
  <c r="AJ31" i="13"/>
  <c r="AI31" i="13"/>
  <c r="AH31" i="13"/>
  <c r="AG31" i="13"/>
  <c r="AF31" i="13"/>
  <c r="AE31" i="13"/>
  <c r="AD31" i="13"/>
  <c r="AB31" i="13"/>
  <c r="AA31" i="13"/>
  <c r="Z31" i="13"/>
  <c r="Y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AS30" i="13"/>
  <c r="AR30" i="13"/>
  <c r="AQ30" i="13"/>
  <c r="AP30" i="13"/>
  <c r="AL30" i="13"/>
  <c r="AK30" i="13"/>
  <c r="AJ30" i="13"/>
  <c r="AI30" i="13"/>
  <c r="AH30" i="13"/>
  <c r="AG30" i="13"/>
  <c r="AF30" i="13"/>
  <c r="AE30" i="13"/>
  <c r="AD30" i="13"/>
  <c r="AB30" i="13"/>
  <c r="AA30" i="13"/>
  <c r="Z30" i="13"/>
  <c r="Y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S28" i="13"/>
  <c r="AR28" i="13"/>
  <c r="AQ28" i="13"/>
  <c r="AP28" i="13"/>
  <c r="AL28" i="13"/>
  <c r="AK28" i="13"/>
  <c r="AJ28" i="13"/>
  <c r="AI28" i="13"/>
  <c r="AH28" i="13"/>
  <c r="AG28" i="13"/>
  <c r="AF28" i="13"/>
  <c r="AE28" i="13"/>
  <c r="AD28" i="13"/>
  <c r="AB28" i="13"/>
  <c r="AA28" i="13"/>
  <c r="Z28" i="13"/>
  <c r="Y28" i="13"/>
  <c r="S28" i="13"/>
  <c r="R28" i="13"/>
  <c r="Q28" i="13"/>
  <c r="P28" i="13"/>
  <c r="O28" i="13"/>
  <c r="N28" i="13"/>
  <c r="M28" i="13"/>
  <c r="L28" i="13"/>
  <c r="K28" i="13"/>
  <c r="J28" i="13"/>
  <c r="H28" i="13"/>
  <c r="G28" i="13"/>
  <c r="E28" i="13"/>
  <c r="D28" i="13"/>
  <c r="C28" i="13"/>
  <c r="AS27" i="13"/>
  <c r="AR27" i="13"/>
  <c r="AQ27" i="13"/>
  <c r="AP27" i="13"/>
  <c r="AL27" i="13"/>
  <c r="AK27" i="13"/>
  <c r="AJ27" i="13"/>
  <c r="AI27" i="13"/>
  <c r="AH27" i="13"/>
  <c r="AG27" i="13"/>
  <c r="AF27" i="13"/>
  <c r="AE27" i="13"/>
  <c r="AD27" i="13"/>
  <c r="AB27" i="13"/>
  <c r="AA27" i="13"/>
  <c r="Z27" i="13"/>
  <c r="Y27" i="13"/>
  <c r="S27" i="13"/>
  <c r="R27" i="13"/>
  <c r="Q27" i="13"/>
  <c r="P27" i="13"/>
  <c r="O27" i="13"/>
  <c r="N27" i="13"/>
  <c r="M27" i="13"/>
  <c r="L27" i="13"/>
  <c r="K27" i="13"/>
  <c r="J27" i="13"/>
  <c r="H27" i="13"/>
  <c r="G27" i="13"/>
  <c r="F27" i="13"/>
  <c r="E27" i="13"/>
  <c r="D27" i="13"/>
  <c r="C27" i="13"/>
  <c r="AS26" i="13"/>
  <c r="AR26" i="13"/>
  <c r="AQ26" i="13"/>
  <c r="AP26" i="13"/>
  <c r="AL26" i="13"/>
  <c r="AK26" i="13"/>
  <c r="AJ26" i="13"/>
  <c r="AI26" i="13"/>
  <c r="AH26" i="13"/>
  <c r="AG26" i="13"/>
  <c r="AF26" i="13"/>
  <c r="AE26" i="13"/>
  <c r="AD26" i="13"/>
  <c r="AB26" i="13"/>
  <c r="AA26" i="13"/>
  <c r="Z26" i="13"/>
  <c r="Y26" i="13"/>
  <c r="S26" i="13"/>
  <c r="R26" i="13"/>
  <c r="Q26" i="13"/>
  <c r="P26" i="13"/>
  <c r="O26" i="13"/>
  <c r="N26" i="13"/>
  <c r="M26" i="13"/>
  <c r="L26" i="13"/>
  <c r="K26" i="13"/>
  <c r="J26" i="13"/>
  <c r="H26" i="13"/>
  <c r="G26" i="13"/>
  <c r="F26" i="13"/>
  <c r="E26" i="13"/>
  <c r="D26" i="13"/>
  <c r="C26" i="13"/>
  <c r="AS25" i="13"/>
  <c r="AQ25" i="13"/>
  <c r="AP25" i="13"/>
  <c r="AL25" i="13"/>
  <c r="AK25" i="13"/>
  <c r="AJ25" i="13"/>
  <c r="AI25" i="13"/>
  <c r="AH25" i="13"/>
  <c r="AG25" i="13"/>
  <c r="AF25" i="13"/>
  <c r="AE25" i="13"/>
  <c r="AD25" i="13"/>
  <c r="AB25" i="13"/>
  <c r="AA25" i="13"/>
  <c r="Z25" i="13"/>
  <c r="Y25" i="13"/>
  <c r="S25" i="13"/>
  <c r="R25" i="13"/>
  <c r="Q25" i="13"/>
  <c r="P25" i="13"/>
  <c r="O25" i="13"/>
  <c r="N25" i="13"/>
  <c r="M25" i="13"/>
  <c r="L25" i="13"/>
  <c r="K25" i="13"/>
  <c r="J25" i="13"/>
  <c r="H25" i="13"/>
  <c r="G25" i="13"/>
  <c r="F25" i="13"/>
  <c r="E25" i="13"/>
  <c r="D25" i="13"/>
  <c r="C25" i="13"/>
  <c r="AS24" i="13"/>
  <c r="AR24" i="13"/>
  <c r="AQ24" i="13"/>
  <c r="AP24" i="13"/>
  <c r="AL24" i="13"/>
  <c r="AK24" i="13"/>
  <c r="AJ24" i="13"/>
  <c r="AI24" i="13"/>
  <c r="AH24" i="13"/>
  <c r="AG24" i="13"/>
  <c r="AF24" i="13"/>
  <c r="AE24" i="13"/>
  <c r="AD24" i="13"/>
  <c r="AB24" i="13"/>
  <c r="AA24" i="13"/>
  <c r="Z24" i="13"/>
  <c r="Y24" i="13"/>
  <c r="S24" i="13"/>
  <c r="R24" i="13"/>
  <c r="Q24" i="13"/>
  <c r="P24" i="13"/>
  <c r="O24" i="13"/>
  <c r="N24" i="13"/>
  <c r="M24" i="13"/>
  <c r="L24" i="13"/>
  <c r="K24" i="13"/>
  <c r="J24" i="13"/>
  <c r="H24" i="13"/>
  <c r="G24" i="13"/>
  <c r="F24" i="13"/>
  <c r="E24" i="13"/>
  <c r="D24" i="13"/>
  <c r="C24" i="13"/>
  <c r="AS23" i="13"/>
  <c r="AR23" i="13"/>
  <c r="AQ23" i="13"/>
  <c r="AP23" i="13"/>
  <c r="AL23" i="13"/>
  <c r="AK23" i="13"/>
  <c r="AJ23" i="13"/>
  <c r="AI23" i="13"/>
  <c r="AH23" i="13"/>
  <c r="AG23" i="13"/>
  <c r="AF23" i="13"/>
  <c r="AE23" i="13"/>
  <c r="AD23" i="13"/>
  <c r="AB23" i="13"/>
  <c r="AA23" i="13"/>
  <c r="Z23" i="13"/>
  <c r="Y23" i="13"/>
  <c r="S23" i="13"/>
  <c r="R23" i="13"/>
  <c r="Q23" i="13"/>
  <c r="P23" i="13"/>
  <c r="O23" i="13"/>
  <c r="N23" i="13"/>
  <c r="M23" i="13"/>
  <c r="L23" i="13"/>
  <c r="K23" i="13"/>
  <c r="J23" i="13"/>
  <c r="H23" i="13"/>
  <c r="G23" i="13"/>
  <c r="F23" i="13"/>
  <c r="E23" i="13"/>
  <c r="D23" i="13"/>
  <c r="C23" i="13"/>
  <c r="AS22" i="13"/>
  <c r="AR22" i="13"/>
  <c r="AQ22" i="13"/>
  <c r="AP22" i="13"/>
  <c r="AL22" i="13"/>
  <c r="AK22" i="13"/>
  <c r="AJ22" i="13"/>
  <c r="AI22" i="13"/>
  <c r="AH22" i="13"/>
  <c r="AG22" i="13"/>
  <c r="AF22" i="13"/>
  <c r="AE22" i="13"/>
  <c r="AD22" i="13"/>
  <c r="AB22" i="13"/>
  <c r="AA22" i="13"/>
  <c r="Z22" i="13"/>
  <c r="Y22" i="13"/>
  <c r="S22" i="13"/>
  <c r="R22" i="13"/>
  <c r="Q22" i="13"/>
  <c r="P22" i="13"/>
  <c r="O22" i="13"/>
  <c r="N22" i="13"/>
  <c r="M22" i="13"/>
  <c r="L22" i="13"/>
  <c r="K22" i="13"/>
  <c r="J22" i="13"/>
  <c r="H22" i="13"/>
  <c r="G22" i="13"/>
  <c r="F22" i="13"/>
  <c r="E22" i="13"/>
  <c r="D22" i="13"/>
  <c r="C22" i="13"/>
  <c r="AS21" i="13"/>
  <c r="AR21" i="13"/>
  <c r="AQ21" i="13"/>
  <c r="AP21" i="13"/>
  <c r="AL21" i="13"/>
  <c r="AK21" i="13"/>
  <c r="AJ21" i="13"/>
  <c r="AI21" i="13"/>
  <c r="AH21" i="13"/>
  <c r="AG21" i="13"/>
  <c r="AF21" i="13"/>
  <c r="AE21" i="13"/>
  <c r="AD21" i="13"/>
  <c r="AB21" i="13"/>
  <c r="AA21" i="13"/>
  <c r="Z21" i="13"/>
  <c r="Y21" i="13"/>
  <c r="S21" i="13"/>
  <c r="R21" i="13"/>
  <c r="Q21" i="13"/>
  <c r="P21" i="13"/>
  <c r="O21" i="13"/>
  <c r="N21" i="13"/>
  <c r="M21" i="13"/>
  <c r="L21" i="13"/>
  <c r="K21" i="13"/>
  <c r="J21" i="13"/>
  <c r="H21" i="13"/>
  <c r="G21" i="13"/>
  <c r="F21" i="13"/>
  <c r="E21" i="13"/>
  <c r="D21" i="13"/>
  <c r="C21" i="13"/>
  <c r="AS20" i="13"/>
  <c r="AR20" i="13"/>
  <c r="AQ20" i="13"/>
  <c r="AP20" i="13"/>
  <c r="AL20" i="13"/>
  <c r="AK20" i="13"/>
  <c r="AJ20" i="13"/>
  <c r="AI20" i="13"/>
  <c r="AH20" i="13"/>
  <c r="AG20" i="13"/>
  <c r="AF20" i="13"/>
  <c r="AE20" i="13"/>
  <c r="AD20" i="13"/>
  <c r="AB20" i="13"/>
  <c r="AA20" i="13"/>
  <c r="Z20" i="13"/>
  <c r="Y20" i="13"/>
  <c r="S20" i="13"/>
  <c r="R20" i="13"/>
  <c r="Q20" i="13"/>
  <c r="P20" i="13"/>
  <c r="O20" i="13"/>
  <c r="N20" i="13"/>
  <c r="M20" i="13"/>
  <c r="L20" i="13"/>
  <c r="K20" i="13"/>
  <c r="J20" i="13"/>
  <c r="H20" i="13"/>
  <c r="G20" i="13"/>
  <c r="F20" i="13"/>
  <c r="E20" i="13"/>
  <c r="D20" i="13"/>
  <c r="C20" i="13"/>
  <c r="AS19" i="13"/>
  <c r="AR19" i="13"/>
  <c r="AQ19" i="13"/>
  <c r="AP19" i="13"/>
  <c r="AL19" i="13"/>
  <c r="AK19" i="13"/>
  <c r="AJ19" i="13"/>
  <c r="AI19" i="13"/>
  <c r="AH19" i="13"/>
  <c r="AG19" i="13"/>
  <c r="AF19" i="13"/>
  <c r="AE19" i="13"/>
  <c r="AD19" i="13"/>
  <c r="AB19" i="13"/>
  <c r="AA19" i="13"/>
  <c r="Z19" i="13"/>
  <c r="Y19" i="13"/>
  <c r="S19" i="13"/>
  <c r="R19" i="13"/>
  <c r="Q19" i="13"/>
  <c r="P19" i="13"/>
  <c r="O19" i="13"/>
  <c r="N19" i="13"/>
  <c r="M19" i="13"/>
  <c r="L19" i="13"/>
  <c r="K19" i="13"/>
  <c r="J19" i="13"/>
  <c r="H19" i="13"/>
  <c r="G19" i="13"/>
  <c r="F19" i="13"/>
  <c r="E19" i="13"/>
  <c r="D19" i="13"/>
  <c r="C19" i="13"/>
  <c r="AS15" i="13"/>
  <c r="AR15" i="13"/>
  <c r="AQ15" i="13"/>
  <c r="AP15" i="13"/>
  <c r="AL15" i="13"/>
  <c r="AK15" i="13"/>
  <c r="AJ15" i="13"/>
  <c r="AI15" i="13"/>
  <c r="AH15" i="13"/>
  <c r="AG15" i="13"/>
  <c r="AF15" i="13"/>
  <c r="AE15" i="13"/>
  <c r="AD15" i="13"/>
  <c r="AB15" i="13"/>
  <c r="AA15" i="13"/>
  <c r="Z15" i="13"/>
  <c r="Y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E15" i="13"/>
  <c r="D15" i="13"/>
  <c r="C15" i="13"/>
  <c r="AS14" i="13"/>
  <c r="AR14" i="13"/>
  <c r="AQ14" i="13"/>
  <c r="AP14" i="13"/>
  <c r="AL14" i="13"/>
  <c r="AK14" i="13"/>
  <c r="AJ14" i="13"/>
  <c r="AI14" i="13"/>
  <c r="AH14" i="13"/>
  <c r="AG14" i="13"/>
  <c r="AF14" i="13"/>
  <c r="AE14" i="13"/>
  <c r="AD14" i="13"/>
  <c r="AB14" i="13"/>
  <c r="AA14" i="13"/>
  <c r="Z14" i="13"/>
  <c r="Y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AS13" i="13"/>
  <c r="AR13" i="13"/>
  <c r="AQ13" i="13"/>
  <c r="AP13" i="13"/>
  <c r="AL13" i="13"/>
  <c r="AK13" i="13"/>
  <c r="AJ13" i="13"/>
  <c r="AI13" i="13"/>
  <c r="AH13" i="13"/>
  <c r="AG13" i="13"/>
  <c r="AF13" i="13"/>
  <c r="AE13" i="13"/>
  <c r="AD13" i="13"/>
  <c r="AB13" i="13"/>
  <c r="AA13" i="13"/>
  <c r="Z13" i="13"/>
  <c r="Y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AS12" i="13"/>
  <c r="AR12" i="13"/>
  <c r="AQ12" i="13"/>
  <c r="AP12" i="13"/>
  <c r="AL12" i="13"/>
  <c r="AK12" i="13"/>
  <c r="AJ12" i="13"/>
  <c r="AI12" i="13"/>
  <c r="AH12" i="13"/>
  <c r="AG12" i="13"/>
  <c r="AF12" i="13"/>
  <c r="AE12" i="13"/>
  <c r="AD12" i="13"/>
  <c r="AB12" i="13"/>
  <c r="AA12" i="13"/>
  <c r="Z12" i="13"/>
  <c r="Y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D12" i="13"/>
  <c r="B19" i="13" l="1"/>
  <c r="B23" i="13"/>
  <c r="B28" i="13"/>
  <c r="B30" i="13"/>
  <c r="B37" i="13"/>
  <c r="B44" i="13"/>
  <c r="B52" i="13"/>
  <c r="B57" i="13"/>
  <c r="B21" i="13"/>
  <c r="B34" i="13"/>
  <c r="B47" i="13"/>
  <c r="B49" i="13"/>
  <c r="B51" i="13"/>
  <c r="B53" i="13"/>
  <c r="B58" i="13"/>
  <c r="B13" i="13"/>
  <c r="B27" i="13"/>
  <c r="B35" i="13"/>
  <c r="B61" i="13"/>
  <c r="B75" i="13"/>
  <c r="B46" i="13"/>
  <c r="B48" i="13"/>
  <c r="B50" i="13"/>
  <c r="B14" i="13"/>
  <c r="B15" i="13"/>
  <c r="B20" i="13"/>
  <c r="B22" i="13"/>
  <c r="B24" i="13"/>
  <c r="B31" i="13"/>
  <c r="B32" i="13"/>
  <c r="B45" i="13"/>
  <c r="B60" i="13"/>
  <c r="B62" i="13"/>
  <c r="B64" i="13"/>
  <c r="B76" i="13"/>
  <c r="B79" i="13"/>
  <c r="B25" i="13"/>
  <c r="B26" i="13"/>
  <c r="B36" i="13"/>
  <c r="B43" i="13"/>
  <c r="B63" i="13"/>
  <c r="C12" i="13"/>
  <c r="B12" i="13" s="1"/>
  <c r="D78" i="13"/>
  <c r="B78" i="13" s="1"/>
  <c r="H83" i="4"/>
  <c r="H76" i="4"/>
  <c r="H75" i="4"/>
  <c r="H73" i="4"/>
  <c r="BB65" i="17"/>
  <c r="BA65" i="17"/>
  <c r="AZ65" i="17"/>
  <c r="AY65" i="17"/>
  <c r="AX65" i="17"/>
  <c r="AW65" i="17"/>
  <c r="AV65" i="17"/>
  <c r="AU65" i="17"/>
  <c r="AS65" i="17"/>
  <c r="AR65" i="17"/>
  <c r="AQ65" i="17"/>
  <c r="AP65" i="17"/>
  <c r="AL65" i="17"/>
  <c r="AK65" i="17"/>
  <c r="AJ65" i="17"/>
  <c r="AI65" i="17"/>
  <c r="AH65" i="17"/>
  <c r="AG65" i="17"/>
  <c r="AF65" i="17"/>
  <c r="AE65" i="17"/>
  <c r="AD65" i="17"/>
  <c r="AB65" i="17"/>
  <c r="AA65" i="17"/>
  <c r="Z65" i="17"/>
  <c r="Y65" i="17"/>
  <c r="V65" i="17"/>
  <c r="S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H60" i="4"/>
  <c r="H59" i="4"/>
  <c r="H58" i="4"/>
  <c r="H57" i="4"/>
  <c r="H56" i="4"/>
  <c r="H55" i="4"/>
  <c r="H54" i="4"/>
  <c r="BB54" i="17"/>
  <c r="BA54" i="17"/>
  <c r="AZ54" i="17"/>
  <c r="AY54" i="17"/>
  <c r="AX54" i="17"/>
  <c r="AW54" i="17"/>
  <c r="AV54" i="17"/>
  <c r="AU54" i="17"/>
  <c r="AS54" i="17"/>
  <c r="AR54" i="17"/>
  <c r="AQ54" i="17"/>
  <c r="AP54" i="17"/>
  <c r="AL54" i="17"/>
  <c r="AK54" i="17"/>
  <c r="AJ54" i="17"/>
  <c r="AI54" i="17"/>
  <c r="AH54" i="17"/>
  <c r="AG54" i="17"/>
  <c r="AF54" i="17"/>
  <c r="AE54" i="17"/>
  <c r="AD54" i="17"/>
  <c r="AB54" i="17"/>
  <c r="AA54" i="17"/>
  <c r="Z54" i="17"/>
  <c r="Y54" i="17"/>
  <c r="V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H50" i="4"/>
  <c r="H49" i="4"/>
  <c r="H48" i="4"/>
  <c r="H47" i="4"/>
  <c r="H46" i="4"/>
  <c r="H45" i="4"/>
  <c r="H44" i="4"/>
  <c r="H43" i="4"/>
  <c r="H42" i="4"/>
  <c r="H41" i="4"/>
  <c r="H40" i="4"/>
  <c r="H34" i="4"/>
  <c r="H33" i="4"/>
  <c r="H32" i="4"/>
  <c r="H29" i="4"/>
  <c r="N29" i="5" s="1"/>
  <c r="H28" i="4"/>
  <c r="H27" i="4"/>
  <c r="BB29" i="17"/>
  <c r="BA29" i="17"/>
  <c r="AZ29" i="17"/>
  <c r="AY29" i="17"/>
  <c r="AX29" i="17"/>
  <c r="AW29" i="17"/>
  <c r="AV29" i="17"/>
  <c r="AU29" i="17"/>
  <c r="AS29" i="17"/>
  <c r="AR29" i="17"/>
  <c r="AQ29" i="17"/>
  <c r="AP29" i="17"/>
  <c r="AL29" i="17"/>
  <c r="AK29" i="17"/>
  <c r="AJ29" i="17"/>
  <c r="AI29" i="17"/>
  <c r="AH29" i="17"/>
  <c r="AG29" i="17"/>
  <c r="AF29" i="17"/>
  <c r="AE29" i="17"/>
  <c r="AD29" i="17"/>
  <c r="AB29" i="17"/>
  <c r="AA29" i="17"/>
  <c r="Z29" i="17"/>
  <c r="Y29" i="17"/>
  <c r="V29" i="17"/>
  <c r="S29" i="17"/>
  <c r="R29" i="17"/>
  <c r="Q29" i="17"/>
  <c r="P29" i="17"/>
  <c r="O29" i="17"/>
  <c r="N29" i="17"/>
  <c r="M29" i="17"/>
  <c r="L29" i="17"/>
  <c r="K29" i="17"/>
  <c r="J29" i="17"/>
  <c r="H29" i="17"/>
  <c r="G29" i="17"/>
  <c r="E29" i="17"/>
  <c r="D29" i="17"/>
  <c r="C29" i="17"/>
  <c r="H25" i="4"/>
  <c r="H24" i="4"/>
  <c r="H23" i="4"/>
  <c r="H22" i="4"/>
  <c r="H21" i="4"/>
  <c r="H20" i="4"/>
  <c r="H19" i="4"/>
  <c r="H17" i="4"/>
  <c r="BB16" i="17"/>
  <c r="BA16" i="17"/>
  <c r="AZ16" i="17"/>
  <c r="AY16" i="17"/>
  <c r="AX16" i="17"/>
  <c r="AW16" i="17"/>
  <c r="AV16" i="17"/>
  <c r="AU16" i="17"/>
  <c r="AS16" i="17"/>
  <c r="AR16" i="17"/>
  <c r="AQ16" i="17"/>
  <c r="AP16" i="17"/>
  <c r="AL16" i="17"/>
  <c r="AK16" i="17"/>
  <c r="AJ16" i="17"/>
  <c r="AI16" i="17"/>
  <c r="AH16" i="17"/>
  <c r="AG16" i="17"/>
  <c r="AF16" i="17"/>
  <c r="AE16" i="17"/>
  <c r="AD16" i="17"/>
  <c r="AB16" i="17"/>
  <c r="AA16" i="17"/>
  <c r="Z16" i="17"/>
  <c r="Y16" i="17"/>
  <c r="V16" i="17"/>
  <c r="S16" i="17"/>
  <c r="R16" i="17"/>
  <c r="Q16" i="17"/>
  <c r="P16" i="17"/>
  <c r="P74" i="17" s="1"/>
  <c r="P80" i="17" s="1"/>
  <c r="P83" i="17" s="1"/>
  <c r="O16" i="17"/>
  <c r="N16" i="17"/>
  <c r="M16" i="17"/>
  <c r="L16" i="17"/>
  <c r="L74" i="17" s="1"/>
  <c r="L80" i="17" s="1"/>
  <c r="L83" i="17" s="1"/>
  <c r="K16" i="17"/>
  <c r="J16" i="17"/>
  <c r="I16" i="17"/>
  <c r="H16" i="17"/>
  <c r="G16" i="17"/>
  <c r="F16" i="17"/>
  <c r="E16" i="17"/>
  <c r="D16" i="17"/>
  <c r="D74" i="17" s="1"/>
  <c r="C16" i="17"/>
  <c r="H12" i="4"/>
  <c r="H11" i="4"/>
  <c r="H10" i="4"/>
  <c r="H9" i="4"/>
  <c r="AS65" i="13"/>
  <c r="AR65" i="13"/>
  <c r="AQ65" i="13"/>
  <c r="AP65" i="13"/>
  <c r="AL65" i="13"/>
  <c r="AK65" i="13"/>
  <c r="AJ65" i="13"/>
  <c r="AH65" i="13"/>
  <c r="AG65" i="13"/>
  <c r="AF65" i="13"/>
  <c r="AE65" i="13"/>
  <c r="AD65" i="13"/>
  <c r="AB65" i="13"/>
  <c r="AA65" i="13"/>
  <c r="Z65" i="13"/>
  <c r="Y65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D65" i="13"/>
  <c r="AS54" i="13"/>
  <c r="AR54" i="13"/>
  <c r="AQ54" i="13"/>
  <c r="AP54" i="13"/>
  <c r="AL54" i="13"/>
  <c r="AK54" i="13"/>
  <c r="AJ54" i="13"/>
  <c r="AI54" i="13"/>
  <c r="AH54" i="13"/>
  <c r="AG54" i="13"/>
  <c r="AF54" i="13"/>
  <c r="AE54" i="13"/>
  <c r="AD54" i="13"/>
  <c r="AB54" i="13"/>
  <c r="AA54" i="13"/>
  <c r="Z54" i="13"/>
  <c r="Y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AS29" i="13"/>
  <c r="AR29" i="13"/>
  <c r="AQ29" i="13"/>
  <c r="AP29" i="13"/>
  <c r="AL29" i="13"/>
  <c r="AK29" i="13"/>
  <c r="AJ29" i="13"/>
  <c r="AI29" i="13"/>
  <c r="AH29" i="13"/>
  <c r="AG29" i="13"/>
  <c r="AF29" i="13"/>
  <c r="AE29" i="13"/>
  <c r="AD29" i="13"/>
  <c r="AB29" i="13"/>
  <c r="AA29" i="13"/>
  <c r="Z29" i="13"/>
  <c r="Y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AS16" i="13"/>
  <c r="AR16" i="13"/>
  <c r="AQ16" i="13"/>
  <c r="AP16" i="13"/>
  <c r="AL16" i="13"/>
  <c r="AK16" i="13"/>
  <c r="AJ16" i="13"/>
  <c r="AI16" i="13"/>
  <c r="AH16" i="13"/>
  <c r="AG16" i="13"/>
  <c r="AF16" i="13"/>
  <c r="AE16" i="13"/>
  <c r="AD16" i="13"/>
  <c r="AB16" i="13"/>
  <c r="AA16" i="13"/>
  <c r="Z16" i="13"/>
  <c r="Y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AS9" i="13"/>
  <c r="AR9" i="13"/>
  <c r="AQ9" i="13"/>
  <c r="AP9" i="13"/>
  <c r="AL9" i="13"/>
  <c r="AK9" i="13"/>
  <c r="AJ9" i="13"/>
  <c r="AI9" i="13"/>
  <c r="AH9" i="13"/>
  <c r="AG9" i="13"/>
  <c r="AF9" i="13"/>
  <c r="AE9" i="13"/>
  <c r="AD9" i="13"/>
  <c r="AB9" i="13"/>
  <c r="AA9" i="13"/>
  <c r="Z9" i="13"/>
  <c r="Y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AS8" i="13"/>
  <c r="AR8" i="13"/>
  <c r="AQ8" i="13"/>
  <c r="AP8" i="13"/>
  <c r="AL8" i="13"/>
  <c r="AK8" i="13"/>
  <c r="AJ8" i="13"/>
  <c r="AI8" i="13"/>
  <c r="AH8" i="13"/>
  <c r="AG8" i="13"/>
  <c r="AF8" i="13"/>
  <c r="AE8" i="13"/>
  <c r="AD8" i="13"/>
  <c r="AB8" i="13"/>
  <c r="AA8" i="13"/>
  <c r="Z8" i="13"/>
  <c r="Y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9" i="13"/>
  <c r="C8" i="13"/>
  <c r="B11" i="16" s="1" a="1"/>
  <c r="AY65" i="1"/>
  <c r="AY54" i="1"/>
  <c r="AY29" i="1"/>
  <c r="AY16" i="1"/>
  <c r="AZ65" i="1"/>
  <c r="AZ54" i="1"/>
  <c r="AZ29" i="1"/>
  <c r="AZ16" i="1"/>
  <c r="BA65" i="1"/>
  <c r="BA54" i="1"/>
  <c r="BA29" i="1"/>
  <c r="BA16" i="1"/>
  <c r="BB65" i="1"/>
  <c r="BB54" i="1"/>
  <c r="BB29" i="1"/>
  <c r="BB16" i="1"/>
  <c r="AK65" i="1"/>
  <c r="AK54" i="1"/>
  <c r="AK29" i="1"/>
  <c r="AK16" i="1"/>
  <c r="AL65" i="1"/>
  <c r="AL54" i="1"/>
  <c r="AL29" i="1"/>
  <c r="AL16" i="1"/>
  <c r="AG65" i="1"/>
  <c r="AG54" i="1"/>
  <c r="AG29" i="1"/>
  <c r="AG16" i="1"/>
  <c r="AE65" i="1"/>
  <c r="AE54" i="1"/>
  <c r="AE29" i="1"/>
  <c r="AE16" i="1"/>
  <c r="Y65" i="1"/>
  <c r="Y54" i="1"/>
  <c r="Y29" i="1"/>
  <c r="Y16" i="1"/>
  <c r="Z65" i="1"/>
  <c r="Z54" i="1"/>
  <c r="Z29" i="1"/>
  <c r="Z16" i="1"/>
  <c r="AA65" i="1"/>
  <c r="AA54" i="1"/>
  <c r="AA29" i="1"/>
  <c r="AA16" i="1"/>
  <c r="AB65" i="1"/>
  <c r="AB54" i="1"/>
  <c r="AB29" i="1"/>
  <c r="AB16" i="1"/>
  <c r="V65" i="1"/>
  <c r="V54" i="1"/>
  <c r="V29" i="1"/>
  <c r="V16" i="1"/>
  <c r="L65" i="1"/>
  <c r="L54" i="1"/>
  <c r="L29" i="1"/>
  <c r="L16" i="1"/>
  <c r="K65" i="1"/>
  <c r="K54" i="1"/>
  <c r="K29" i="1"/>
  <c r="K16" i="1"/>
  <c r="B11" i="16" l="1"/>
  <c r="B12" i="16"/>
  <c r="B14" i="16"/>
  <c r="B13" i="16"/>
  <c r="C17" i="16" a="1"/>
  <c r="B17" i="16" a="1"/>
  <c r="C11" i="16" a="1"/>
  <c r="B39" i="16" a="1"/>
  <c r="B46" i="16" a="1"/>
  <c r="C39" i="16" a="1"/>
  <c r="C46" i="16" a="1"/>
  <c r="C17" i="16"/>
  <c r="C20" i="16"/>
  <c r="C27" i="16"/>
  <c r="C22" i="16"/>
  <c r="C18" i="16"/>
  <c r="C29" i="16"/>
  <c r="C19" i="16"/>
  <c r="C21" i="16"/>
  <c r="C23" i="16"/>
  <c r="C28" i="16"/>
  <c r="C26" i="16"/>
  <c r="C25" i="16"/>
  <c r="C24" i="16"/>
  <c r="B29" i="17"/>
  <c r="B16" i="17"/>
  <c r="B54" i="17"/>
  <c r="B65" i="17"/>
  <c r="L85" i="17"/>
  <c r="L87" i="17" s="1"/>
  <c r="L33" i="17" s="1"/>
  <c r="L38" i="17" s="1"/>
  <c r="L40" i="17" s="1"/>
  <c r="P85" i="17"/>
  <c r="P87" i="17" s="1"/>
  <c r="P33" i="17" s="1"/>
  <c r="P38" i="17" s="1"/>
  <c r="P40" i="17" s="1"/>
  <c r="H74" i="17"/>
  <c r="F74" i="17"/>
  <c r="F80" i="17" s="1"/>
  <c r="F83" i="17" s="1"/>
  <c r="C74" i="17"/>
  <c r="G74" i="17"/>
  <c r="G80" i="17" s="1"/>
  <c r="G83" i="17" s="1"/>
  <c r="E74" i="17"/>
  <c r="E80" i="17" s="1"/>
  <c r="E83" i="17" s="1"/>
  <c r="AR74" i="17"/>
  <c r="AR80" i="17" s="1"/>
  <c r="AR83" i="17" s="1"/>
  <c r="BA74" i="17"/>
  <c r="BA80" i="17" s="1"/>
  <c r="BA83" i="17" s="1"/>
  <c r="V74" i="17"/>
  <c r="V80" i="17" s="1"/>
  <c r="V83" i="17" s="1"/>
  <c r="Z74" i="17"/>
  <c r="AD74" i="17"/>
  <c r="AH74" i="17"/>
  <c r="AH80" i="17" s="1"/>
  <c r="AH83" i="17" s="1"/>
  <c r="AL74" i="17"/>
  <c r="E67" i="17"/>
  <c r="L67" i="17"/>
  <c r="P67" i="17"/>
  <c r="V67" i="17"/>
  <c r="I67" i="17"/>
  <c r="M67" i="17"/>
  <c r="Q67" i="17"/>
  <c r="AS67" i="13"/>
  <c r="I74" i="17"/>
  <c r="I80" i="17" s="1"/>
  <c r="I83" i="17" s="1"/>
  <c r="M74" i="17"/>
  <c r="M80" i="17" s="1"/>
  <c r="M83" i="17" s="1"/>
  <c r="Q74" i="17"/>
  <c r="Q80" i="17" s="1"/>
  <c r="Q83" i="17" s="1"/>
  <c r="Z67" i="17"/>
  <c r="AD67" i="17"/>
  <c r="AH67" i="17"/>
  <c r="AL67" i="17"/>
  <c r="AR67" i="17"/>
  <c r="Y74" i="17"/>
  <c r="Y80" i="17" s="1"/>
  <c r="Y83" i="17" s="1"/>
  <c r="AG74" i="17"/>
  <c r="AG80" i="17" s="1"/>
  <c r="AG83" i="17" s="1"/>
  <c r="AK74" i="17"/>
  <c r="AK80" i="17" s="1"/>
  <c r="AK83" i="17" s="1"/>
  <c r="AQ74" i="17"/>
  <c r="AQ80" i="17" s="1"/>
  <c r="AQ83" i="17" s="1"/>
  <c r="AV74" i="17"/>
  <c r="AV80" i="17" s="1"/>
  <c r="AV83" i="17" s="1"/>
  <c r="AZ74" i="17"/>
  <c r="AZ80" i="17" s="1"/>
  <c r="AZ83" i="17" s="1"/>
  <c r="Y67" i="17"/>
  <c r="AG67" i="17"/>
  <c r="AK67" i="17"/>
  <c r="AQ67" i="17"/>
  <c r="AV67" i="17"/>
  <c r="AZ67" i="17"/>
  <c r="C67" i="17"/>
  <c r="J67" i="17"/>
  <c r="R67" i="17"/>
  <c r="AE67" i="17"/>
  <c r="AX67" i="17"/>
  <c r="D67" i="17"/>
  <c r="H67" i="17"/>
  <c r="K67" i="17"/>
  <c r="O67" i="17"/>
  <c r="S67" i="17"/>
  <c r="AB67" i="17"/>
  <c r="AF67" i="17"/>
  <c r="AJ67" i="17"/>
  <c r="AP67" i="17"/>
  <c r="AU67" i="17"/>
  <c r="AY67" i="17"/>
  <c r="G67" i="17"/>
  <c r="AA67" i="17"/>
  <c r="AI67" i="17"/>
  <c r="BB67" i="17"/>
  <c r="C80" i="17"/>
  <c r="C83" i="17" s="1"/>
  <c r="C85" i="17" s="1"/>
  <c r="J74" i="17"/>
  <c r="J80" i="17" s="1"/>
  <c r="J83" i="17" s="1"/>
  <c r="N74" i="17"/>
  <c r="N80" i="17" s="1"/>
  <c r="N83" i="17" s="1"/>
  <c r="N85" i="17" s="1"/>
  <c r="R74" i="17"/>
  <c r="R80" i="17" s="1"/>
  <c r="R83" i="17" s="1"/>
  <c r="AA74" i="17"/>
  <c r="AE74" i="17"/>
  <c r="AE80" i="17" s="1"/>
  <c r="AE83" i="17" s="1"/>
  <c r="AI74" i="17"/>
  <c r="AI80" i="17" s="1"/>
  <c r="AI83" i="17" s="1"/>
  <c r="AS74" i="17"/>
  <c r="AS80" i="17" s="1"/>
  <c r="AS83" i="17" s="1"/>
  <c r="AX74" i="17"/>
  <c r="AX80" i="17" s="1"/>
  <c r="AX83" i="17" s="1"/>
  <c r="BB74" i="17"/>
  <c r="BB80" i="17" s="1"/>
  <c r="BB83" i="17" s="1"/>
  <c r="D80" i="17"/>
  <c r="D83" i="17" s="1"/>
  <c r="O74" i="17"/>
  <c r="O80" i="17" s="1"/>
  <c r="O83" i="17" s="1"/>
  <c r="O85" i="17" s="1"/>
  <c r="S74" i="17"/>
  <c r="S80" i="17" s="1"/>
  <c r="S83" i="17" s="1"/>
  <c r="AB74" i="17"/>
  <c r="AF74" i="17"/>
  <c r="AF80" i="17" s="1"/>
  <c r="AF83" i="17" s="1"/>
  <c r="AJ74" i="17"/>
  <c r="AJ80" i="17" s="1"/>
  <c r="AJ83" i="17" s="1"/>
  <c r="AP74" i="17"/>
  <c r="AP80" i="17" s="1"/>
  <c r="AP83" i="17" s="1"/>
  <c r="AU74" i="17"/>
  <c r="AU80" i="17" s="1"/>
  <c r="AU83" i="17" s="1"/>
  <c r="AY74" i="17"/>
  <c r="AY80" i="17" s="1"/>
  <c r="AY83" i="17" s="1"/>
  <c r="AK67" i="13"/>
  <c r="E74" i="13"/>
  <c r="E80" i="13" s="1"/>
  <c r="E83" i="13" s="1"/>
  <c r="G74" i="13"/>
  <c r="G80" i="13" s="1"/>
  <c r="G83" i="13" s="1"/>
  <c r="J74" i="13"/>
  <c r="J80" i="13" s="1"/>
  <c r="J83" i="13" s="1"/>
  <c r="L74" i="13"/>
  <c r="L80" i="13" s="1"/>
  <c r="L83" i="13" s="1"/>
  <c r="N74" i="13"/>
  <c r="N80" i="13" s="1"/>
  <c r="N83" i="13" s="1"/>
  <c r="P74" i="13"/>
  <c r="P80" i="13" s="1"/>
  <c r="P83" i="13" s="1"/>
  <c r="R74" i="13"/>
  <c r="R80" i="13" s="1"/>
  <c r="R83" i="13" s="1"/>
  <c r="Y74" i="13"/>
  <c r="Y80" i="13" s="1"/>
  <c r="Y83" i="13" s="1"/>
  <c r="AA74" i="13"/>
  <c r="AA80" i="13" s="1"/>
  <c r="AA83" i="13" s="1"/>
  <c r="AE74" i="13"/>
  <c r="AE80" i="13" s="1"/>
  <c r="AE83" i="13" s="1"/>
  <c r="AG74" i="13"/>
  <c r="AG80" i="13" s="1"/>
  <c r="AG83" i="13" s="1"/>
  <c r="AI74" i="13"/>
  <c r="AI80" i="13" s="1"/>
  <c r="AI83" i="13" s="1"/>
  <c r="AK74" i="13"/>
  <c r="AK80" i="13" s="1"/>
  <c r="AK83" i="13" s="1"/>
  <c r="AQ74" i="13"/>
  <c r="AQ80" i="13" s="1"/>
  <c r="AQ83" i="13" s="1"/>
  <c r="AS74" i="13"/>
  <c r="AS80" i="13" s="1"/>
  <c r="AS83" i="13" s="1"/>
  <c r="E67" i="13"/>
  <c r="G67" i="13"/>
  <c r="J67" i="13"/>
  <c r="L67" i="13"/>
  <c r="N67" i="13"/>
  <c r="P67" i="13"/>
  <c r="R67" i="13"/>
  <c r="Y67" i="13"/>
  <c r="AA67" i="13"/>
  <c r="AE67" i="13"/>
  <c r="Z74" i="1"/>
  <c r="Z80" i="1" s="1"/>
  <c r="Z83" i="1" s="1"/>
  <c r="Z67" i="1"/>
  <c r="Y67" i="1"/>
  <c r="AE74" i="1"/>
  <c r="AE80" i="1" s="1"/>
  <c r="AE83" i="1" s="1"/>
  <c r="AE67" i="1"/>
  <c r="AG74" i="1"/>
  <c r="AG80" i="1" s="1"/>
  <c r="AG83" i="1" s="1"/>
  <c r="AL74" i="1"/>
  <c r="AL67" i="1"/>
  <c r="AK74" i="1"/>
  <c r="AK80" i="1" s="1"/>
  <c r="AK83" i="1" s="1"/>
  <c r="BA74" i="1"/>
  <c r="BA80" i="1" s="1"/>
  <c r="BA83" i="1" s="1"/>
  <c r="BA67" i="1"/>
  <c r="AY74" i="1"/>
  <c r="AY80" i="1" s="1"/>
  <c r="AY83" i="1" s="1"/>
  <c r="AY67" i="1"/>
  <c r="AK67" i="1"/>
  <c r="AW67" i="17"/>
  <c r="BA67" i="17"/>
  <c r="D74" i="13"/>
  <c r="D80" i="13" s="1"/>
  <c r="D83" i="13" s="1"/>
  <c r="F74" i="13"/>
  <c r="F80" i="13" s="1"/>
  <c r="F83" i="13" s="1"/>
  <c r="H74" i="13"/>
  <c r="H80" i="13" s="1"/>
  <c r="H83" i="13" s="1"/>
  <c r="I74" i="13"/>
  <c r="I80" i="13" s="1"/>
  <c r="I83" i="13" s="1"/>
  <c r="M74" i="13"/>
  <c r="M80" i="13" s="1"/>
  <c r="M83" i="13" s="1"/>
  <c r="O74" i="13"/>
  <c r="O80" i="13" s="1"/>
  <c r="O83" i="13" s="1"/>
  <c r="Q74" i="13"/>
  <c r="Q80" i="13" s="1"/>
  <c r="Q83" i="13" s="1"/>
  <c r="S74" i="13"/>
  <c r="S80" i="13" s="1"/>
  <c r="S83" i="13" s="1"/>
  <c r="Z74" i="13"/>
  <c r="Z80" i="13" s="1"/>
  <c r="Z83" i="13" s="1"/>
  <c r="AB74" i="13"/>
  <c r="AB80" i="13" s="1"/>
  <c r="AB83" i="13" s="1"/>
  <c r="AD74" i="13"/>
  <c r="AF74" i="13"/>
  <c r="AF80" i="13" s="1"/>
  <c r="AF83" i="13" s="1"/>
  <c r="AH74" i="13"/>
  <c r="AH80" i="13" s="1"/>
  <c r="AH83" i="13" s="1"/>
  <c r="AJ74" i="13"/>
  <c r="AJ80" i="13" s="1"/>
  <c r="AJ83" i="13" s="1"/>
  <c r="AL74" i="13"/>
  <c r="AP74" i="13"/>
  <c r="AP80" i="13" s="1"/>
  <c r="AP83" i="13" s="1"/>
  <c r="AR74" i="13"/>
  <c r="AR80" i="13" s="1"/>
  <c r="AR83" i="13" s="1"/>
  <c r="H80" i="17"/>
  <c r="H83" i="17" s="1"/>
  <c r="AS67" i="17"/>
  <c r="BB74" i="1"/>
  <c r="BB80" i="1" s="1"/>
  <c r="BB83" i="1" s="1"/>
  <c r="BB67" i="1"/>
  <c r="AW74" i="17"/>
  <c r="AW80" i="17" s="1"/>
  <c r="AW83" i="17" s="1"/>
  <c r="AQ67" i="13"/>
  <c r="AG67" i="13"/>
  <c r="AG67" i="1"/>
  <c r="N67" i="17"/>
  <c r="K74" i="17"/>
  <c r="K80" i="17" s="1"/>
  <c r="K83" i="17" s="1"/>
  <c r="K74" i="13"/>
  <c r="K80" i="13" s="1"/>
  <c r="K83" i="13" s="1"/>
  <c r="F67" i="17"/>
  <c r="D67" i="13"/>
  <c r="F67" i="13"/>
  <c r="H67" i="13"/>
  <c r="I67" i="13"/>
  <c r="K67" i="13"/>
  <c r="M67" i="13"/>
  <c r="O67" i="13"/>
  <c r="Q67" i="13"/>
  <c r="S67" i="13"/>
  <c r="Z67" i="13"/>
  <c r="AB67" i="13"/>
  <c r="AD67" i="13"/>
  <c r="AF67" i="13"/>
  <c r="AH67" i="13"/>
  <c r="AJ67" i="13"/>
  <c r="AL67" i="13"/>
  <c r="AP67" i="13"/>
  <c r="AR67" i="13"/>
  <c r="AZ74" i="1"/>
  <c r="AZ80" i="1" s="1"/>
  <c r="AZ83" i="1" s="1"/>
  <c r="AZ67" i="1"/>
  <c r="Y74" i="1"/>
  <c r="Y80" i="1" s="1"/>
  <c r="Y83" i="1" s="1"/>
  <c r="V74" i="1"/>
  <c r="V80" i="1" s="1"/>
  <c r="V83" i="1" s="1"/>
  <c r="V67" i="1"/>
  <c r="AB74" i="1"/>
  <c r="AB80" i="1" s="1"/>
  <c r="AB83" i="1" s="1"/>
  <c r="AB67" i="1"/>
  <c r="AA74" i="1"/>
  <c r="AA80" i="1" s="1"/>
  <c r="AA83" i="1" s="1"/>
  <c r="AA67" i="1"/>
  <c r="K74" i="1"/>
  <c r="K80" i="1" s="1"/>
  <c r="K83" i="1" s="1"/>
  <c r="K67" i="1"/>
  <c r="L74" i="1"/>
  <c r="L80" i="1" s="1"/>
  <c r="L83" i="1" s="1"/>
  <c r="L67" i="1"/>
  <c r="E65" i="1"/>
  <c r="E54" i="1"/>
  <c r="E29" i="1"/>
  <c r="E16" i="1"/>
  <c r="C39" i="16" l="1"/>
  <c r="C40" i="16"/>
  <c r="C41" i="16"/>
  <c r="C43" i="16"/>
  <c r="C42" i="16"/>
  <c r="C11" i="16"/>
  <c r="C12" i="16"/>
  <c r="C14" i="16"/>
  <c r="C13" i="16"/>
  <c r="B17" i="16"/>
  <c r="B20" i="16"/>
  <c r="B26" i="16"/>
  <c r="B24" i="16"/>
  <c r="B27" i="16"/>
  <c r="B22" i="16"/>
  <c r="B29" i="16"/>
  <c r="B23" i="16"/>
  <c r="B18" i="16"/>
  <c r="B25" i="16"/>
  <c r="B28" i="16"/>
  <c r="B19" i="16"/>
  <c r="B21" i="16"/>
  <c r="E17" i="16" a="1"/>
  <c r="E20" i="16" s="1"/>
  <c r="B46" i="16"/>
  <c r="B56" i="16"/>
  <c r="B51" i="16"/>
  <c r="B57" i="16"/>
  <c r="B52" i="16"/>
  <c r="B47" i="16"/>
  <c r="B53" i="16"/>
  <c r="B48" i="16"/>
  <c r="B54" i="16"/>
  <c r="B49" i="16"/>
  <c r="B55" i="16"/>
  <c r="B50" i="16"/>
  <c r="C46" i="16"/>
  <c r="C51" i="16"/>
  <c r="C56" i="16"/>
  <c r="C50" i="16"/>
  <c r="C47" i="16"/>
  <c r="C52" i="16"/>
  <c r="C53" i="16"/>
  <c r="C57" i="16"/>
  <c r="C48" i="16"/>
  <c r="C55" i="16"/>
  <c r="C49" i="16"/>
  <c r="C54" i="16"/>
  <c r="B39" i="16"/>
  <c r="B41" i="16"/>
  <c r="B40" i="16"/>
  <c r="B43" i="16"/>
  <c r="B42" i="16"/>
  <c r="E39" i="16" a="1"/>
  <c r="E43" i="16" s="1"/>
  <c r="E17" i="16"/>
  <c r="BB85" i="1"/>
  <c r="BB87" i="1" s="1"/>
  <c r="BB33" i="1" s="1"/>
  <c r="BB38" i="1" s="1"/>
  <c r="BB40" i="1" s="1"/>
  <c r="AY85" i="1"/>
  <c r="AY87" i="1" s="1"/>
  <c r="AY33" i="1" s="1"/>
  <c r="AY38" i="1" s="1"/>
  <c r="AY40" i="1" s="1"/>
  <c r="AA85" i="1"/>
  <c r="AA87" i="1" s="1"/>
  <c r="AA33" i="1" s="1"/>
  <c r="AA38" i="1" s="1"/>
  <c r="AA40" i="1" s="1"/>
  <c r="BA87" i="1"/>
  <c r="BA33" i="1" s="1"/>
  <c r="BA38" i="1" s="1"/>
  <c r="BA40" i="1" s="1"/>
  <c r="BA85" i="1"/>
  <c r="AG85" i="1"/>
  <c r="AG87" i="1" s="1"/>
  <c r="AG33" i="1" s="1"/>
  <c r="AG38" i="1" s="1"/>
  <c r="AG40" i="1" s="1"/>
  <c r="B67" i="17"/>
  <c r="AL80" i="17"/>
  <c r="AL83" i="17" s="1"/>
  <c r="AL85" i="17" s="1"/>
  <c r="AL87" i="17" s="1"/>
  <c r="AL33" i="17" s="1"/>
  <c r="B74" i="17"/>
  <c r="AL80" i="1"/>
  <c r="AL83" i="1" s="1"/>
  <c r="AL85" i="1" s="1"/>
  <c r="AL87" i="1" s="1"/>
  <c r="AL33" i="1" s="1"/>
  <c r="AL38" i="1" s="1"/>
  <c r="AL40" i="1" s="1"/>
  <c r="AL80" i="13"/>
  <c r="AL83" i="13" s="1"/>
  <c r="AL85" i="13" s="1"/>
  <c r="AL87" i="13" s="1"/>
  <c r="AL93" i="13" s="1"/>
  <c r="AA80" i="17"/>
  <c r="AA83" i="17" s="1"/>
  <c r="AA85" i="17" s="1"/>
  <c r="AA87" i="17" s="1"/>
  <c r="AA33" i="17" s="1"/>
  <c r="Z80" i="17"/>
  <c r="Z83" i="17" s="1"/>
  <c r="Z85" i="17" s="1"/>
  <c r="Z87" i="17" s="1"/>
  <c r="Z33" i="17" s="1"/>
  <c r="Z38" i="17" s="1"/>
  <c r="Z40" i="17" s="1"/>
  <c r="AB80" i="17"/>
  <c r="AB83" i="17" s="1"/>
  <c r="AB85" i="17" s="1"/>
  <c r="AB87" i="17" s="1"/>
  <c r="AB33" i="17" s="1"/>
  <c r="AB38" i="17" s="1"/>
  <c r="AB40" i="17" s="1"/>
  <c r="Y85" i="1"/>
  <c r="Y87" i="1" s="1"/>
  <c r="Y33" i="1" s="1"/>
  <c r="AY85" i="17"/>
  <c r="AY87" i="17" s="1"/>
  <c r="AY33" i="17" s="1"/>
  <c r="AF85" i="17"/>
  <c r="AF87" i="17" s="1"/>
  <c r="AF33" i="17" s="1"/>
  <c r="AF38" i="17" s="1"/>
  <c r="AF40" i="17" s="1"/>
  <c r="D85" i="17"/>
  <c r="D87" i="17" s="1"/>
  <c r="D33" i="17" s="1"/>
  <c r="D38" i="17" s="1"/>
  <c r="D40" i="17" s="1"/>
  <c r="AI85" i="17"/>
  <c r="AI87" i="17" s="1"/>
  <c r="AI33" i="17" s="1"/>
  <c r="AI38" i="17" s="1"/>
  <c r="AI40" i="17" s="1"/>
  <c r="AK85" i="17"/>
  <c r="AK87" i="17" s="1"/>
  <c r="AK33" i="17" s="1"/>
  <c r="AK38" i="17" s="1"/>
  <c r="AK40" i="17" s="1"/>
  <c r="Q85" i="17"/>
  <c r="Q87" i="17" s="1"/>
  <c r="Q33" i="17" s="1"/>
  <c r="Q38" i="17" s="1"/>
  <c r="Q40" i="17" s="1"/>
  <c r="AH85" i="17"/>
  <c r="AH87" i="17" s="1"/>
  <c r="AH33" i="17" s="1"/>
  <c r="AH38" i="17" s="1"/>
  <c r="AH40" i="17" s="1"/>
  <c r="BA85" i="17"/>
  <c r="BA87" i="17" s="1"/>
  <c r="BA33" i="17" s="1"/>
  <c r="AU85" i="17"/>
  <c r="AU87" i="17" s="1"/>
  <c r="AU33" i="17" s="1"/>
  <c r="BB85" i="17"/>
  <c r="BB87" i="17" s="1"/>
  <c r="BB33" i="17" s="1"/>
  <c r="AE85" i="17"/>
  <c r="AE87" i="17" s="1"/>
  <c r="AE33" i="17" s="1"/>
  <c r="AE38" i="17" s="1"/>
  <c r="AE40" i="17" s="1"/>
  <c r="J85" i="17"/>
  <c r="J87" i="17" s="1"/>
  <c r="J33" i="17" s="1"/>
  <c r="J38" i="17" s="1"/>
  <c r="J40" i="17" s="1"/>
  <c r="AZ85" i="17"/>
  <c r="AZ87" i="17" s="1"/>
  <c r="AZ33" i="17" s="1"/>
  <c r="AZ38" i="17" s="1"/>
  <c r="AZ40" i="17" s="1"/>
  <c r="AG85" i="17"/>
  <c r="AG87" i="17" s="1"/>
  <c r="AG33" i="17" s="1"/>
  <c r="M85" i="17"/>
  <c r="M87" i="17" s="1"/>
  <c r="M33" i="17" s="1"/>
  <c r="M38" i="17" s="1"/>
  <c r="M40" i="17" s="1"/>
  <c r="AR85" i="17"/>
  <c r="AR87" i="17" s="1"/>
  <c r="AR33" i="17" s="1"/>
  <c r="AR38" i="17" s="1"/>
  <c r="AR40" i="17" s="1"/>
  <c r="F85" i="17"/>
  <c r="F87" i="17" s="1"/>
  <c r="F33" i="17" s="1"/>
  <c r="F38" i="17" s="1"/>
  <c r="F40" i="17" s="1"/>
  <c r="K85" i="17"/>
  <c r="K87" i="17" s="1"/>
  <c r="K33" i="17" s="1"/>
  <c r="K38" i="17" s="1"/>
  <c r="K40" i="17" s="1"/>
  <c r="AP85" i="17"/>
  <c r="AP87" i="17" s="1"/>
  <c r="AP33" i="17" s="1"/>
  <c r="AP38" i="17" s="1"/>
  <c r="AP40" i="17" s="1"/>
  <c r="S85" i="17"/>
  <c r="S87" i="17" s="1"/>
  <c r="S33" i="17" s="1"/>
  <c r="S38" i="17" s="1"/>
  <c r="S40" i="17" s="1"/>
  <c r="AX85" i="17"/>
  <c r="AX87" i="17" s="1"/>
  <c r="AX33" i="17" s="1"/>
  <c r="AX38" i="17" s="1"/>
  <c r="AX40" i="17" s="1"/>
  <c r="AV85" i="17"/>
  <c r="AV87" i="17" s="1"/>
  <c r="AV33" i="17" s="1"/>
  <c r="AV38" i="17" s="1"/>
  <c r="AV40" i="17" s="1"/>
  <c r="Y85" i="17"/>
  <c r="Y87" i="17" s="1"/>
  <c r="Y33" i="17" s="1"/>
  <c r="I85" i="17"/>
  <c r="I87" i="17" s="1"/>
  <c r="I33" i="17" s="1"/>
  <c r="E85" i="17"/>
  <c r="E87" i="17" s="1"/>
  <c r="E33" i="17" s="1"/>
  <c r="E38" i="17" s="1"/>
  <c r="E40" i="17" s="1"/>
  <c r="AW85" i="17"/>
  <c r="AW87" i="17" s="1"/>
  <c r="AW33" i="17" s="1"/>
  <c r="AW38" i="17" s="1"/>
  <c r="AW40" i="17" s="1"/>
  <c r="H85" i="17"/>
  <c r="H87" i="17" s="1"/>
  <c r="AJ85" i="17"/>
  <c r="AJ87" i="17" s="1"/>
  <c r="AJ33" i="17" s="1"/>
  <c r="AJ38" i="17" s="1"/>
  <c r="AJ40" i="17" s="1"/>
  <c r="AS85" i="17"/>
  <c r="AS87" i="17" s="1"/>
  <c r="AS33" i="17" s="1"/>
  <c r="AS38" i="17" s="1"/>
  <c r="AS40" i="17" s="1"/>
  <c r="R85" i="17"/>
  <c r="R87" i="17" s="1"/>
  <c r="R33" i="17" s="1"/>
  <c r="R38" i="17" s="1"/>
  <c r="R40" i="17" s="1"/>
  <c r="AQ85" i="17"/>
  <c r="AQ87" i="17" s="1"/>
  <c r="AQ33" i="17" s="1"/>
  <c r="AQ38" i="17" s="1"/>
  <c r="AQ40" i="17" s="1"/>
  <c r="V85" i="17"/>
  <c r="V87" i="17" s="1"/>
  <c r="V33" i="17" s="1"/>
  <c r="G85" i="17"/>
  <c r="G87" i="17" s="1"/>
  <c r="V85" i="1"/>
  <c r="V87" i="1" s="1"/>
  <c r="V33" i="1" s="1"/>
  <c r="H85" i="13"/>
  <c r="H87" i="13" s="1"/>
  <c r="H93" i="13" s="1"/>
  <c r="AK85" i="13"/>
  <c r="AK87" i="13" s="1"/>
  <c r="AK93" i="13" s="1"/>
  <c r="AA85" i="13"/>
  <c r="AA87" i="13" s="1"/>
  <c r="AA93" i="13" s="1"/>
  <c r="E85" i="13"/>
  <c r="E87" i="13" s="1"/>
  <c r="E93" i="13" s="1"/>
  <c r="AJ85" i="13"/>
  <c r="AJ87" i="13" s="1"/>
  <c r="AJ93" i="13" s="1"/>
  <c r="AB85" i="13"/>
  <c r="AB87" i="13" s="1"/>
  <c r="AB93" i="13" s="1"/>
  <c r="O85" i="13"/>
  <c r="O87" i="13" s="1"/>
  <c r="O93" i="13" s="1"/>
  <c r="F85" i="13"/>
  <c r="F87" i="13" s="1"/>
  <c r="F93" i="13" s="1"/>
  <c r="AI85" i="13"/>
  <c r="AI87" i="13" s="1"/>
  <c r="AI93" i="13" s="1"/>
  <c r="Y85" i="13"/>
  <c r="Y87" i="13" s="1"/>
  <c r="Y93" i="13" s="1"/>
  <c r="AB85" i="1"/>
  <c r="AB87" i="1" s="1"/>
  <c r="AB33" i="1" s="1"/>
  <c r="AR85" i="13"/>
  <c r="AR87" i="13" s="1"/>
  <c r="AR93" i="13" s="1"/>
  <c r="AH85" i="13"/>
  <c r="AH87" i="13" s="1"/>
  <c r="AH93" i="13" s="1"/>
  <c r="Z85" i="13"/>
  <c r="Z87" i="13" s="1"/>
  <c r="Z93" i="13" s="1"/>
  <c r="D85" i="13"/>
  <c r="D87" i="13" s="1"/>
  <c r="D93" i="13" s="1"/>
  <c r="AK85" i="1"/>
  <c r="AK87" i="1" s="1"/>
  <c r="AK33" i="1" s="1"/>
  <c r="Z85" i="1"/>
  <c r="Z87" i="1" s="1"/>
  <c r="Z33" i="1" s="1"/>
  <c r="AS85" i="13"/>
  <c r="AS87" i="13" s="1"/>
  <c r="AS93" i="13" s="1"/>
  <c r="AG85" i="13"/>
  <c r="AG87" i="13" s="1"/>
  <c r="AG93" i="13" s="1"/>
  <c r="R85" i="13"/>
  <c r="R87" i="13" s="1"/>
  <c r="R93" i="13" s="1"/>
  <c r="J85" i="13"/>
  <c r="J87" i="13" s="1"/>
  <c r="J93" i="13" s="1"/>
  <c r="AP85" i="13"/>
  <c r="AP87" i="13" s="1"/>
  <c r="AP93" i="13" s="1"/>
  <c r="AF85" i="13"/>
  <c r="AF87" i="13" s="1"/>
  <c r="AF93" i="13" s="1"/>
  <c r="S85" i="13"/>
  <c r="S87" i="13" s="1"/>
  <c r="S93" i="13" s="1"/>
  <c r="AE85" i="1"/>
  <c r="AE87" i="1" s="1"/>
  <c r="AE33" i="1" s="1"/>
  <c r="AQ85" i="13"/>
  <c r="AQ87" i="13" s="1"/>
  <c r="AQ93" i="13" s="1"/>
  <c r="AE85" i="13"/>
  <c r="AE87" i="13" s="1"/>
  <c r="AE93" i="13" s="1"/>
  <c r="G85" i="13"/>
  <c r="G87" i="13" s="1"/>
  <c r="G93" i="13" s="1"/>
  <c r="M85" i="13"/>
  <c r="M87" i="13" s="1"/>
  <c r="M93" i="13" s="1"/>
  <c r="L85" i="13"/>
  <c r="L87" i="13" s="1"/>
  <c r="L93" i="13" s="1"/>
  <c r="P85" i="13"/>
  <c r="P87" i="13" s="1"/>
  <c r="P93" i="13" s="1"/>
  <c r="Q85" i="13"/>
  <c r="Q87" i="13" s="1"/>
  <c r="Q93" i="13" s="1"/>
  <c r="K85" i="13"/>
  <c r="K87" i="13" s="1"/>
  <c r="K93" i="13" s="1"/>
  <c r="N85" i="13"/>
  <c r="N87" i="13" s="1"/>
  <c r="N93" i="13" s="1"/>
  <c r="I85" i="13"/>
  <c r="I87" i="13" s="1"/>
  <c r="I93" i="13" s="1"/>
  <c r="AZ85" i="1"/>
  <c r="AZ87" i="1" s="1"/>
  <c r="AZ33" i="1" s="1"/>
  <c r="K85" i="1"/>
  <c r="K87" i="1" s="1"/>
  <c r="K33" i="1" s="1"/>
  <c r="L85" i="1"/>
  <c r="L87" i="1" s="1"/>
  <c r="L33" i="1" s="1"/>
  <c r="H38" i="17"/>
  <c r="H40" i="17" s="1"/>
  <c r="G38" i="17"/>
  <c r="G40" i="17" s="1"/>
  <c r="O87" i="17"/>
  <c r="O33" i="17" s="1"/>
  <c r="O38" i="17" s="1"/>
  <c r="O40" i="17" s="1"/>
  <c r="N87" i="17"/>
  <c r="N33" i="17" s="1"/>
  <c r="N38" i="17" s="1"/>
  <c r="N40" i="17" s="1"/>
  <c r="E74" i="1"/>
  <c r="E80" i="1" s="1"/>
  <c r="E83" i="1" s="1"/>
  <c r="E67" i="1"/>
  <c r="A12" i="16"/>
  <c r="A13" i="16" s="1"/>
  <c r="A14" i="16" s="1"/>
  <c r="E23" i="16" l="1"/>
  <c r="E28" i="16"/>
  <c r="E25" i="16"/>
  <c r="E24" i="16"/>
  <c r="E27" i="16"/>
  <c r="E29" i="16"/>
  <c r="E19" i="16"/>
  <c r="E26" i="16"/>
  <c r="E18" i="16"/>
  <c r="E22" i="16"/>
  <c r="E21" i="16"/>
  <c r="E41" i="16"/>
  <c r="E42" i="16"/>
  <c r="E40" i="16"/>
  <c r="E39" i="16"/>
  <c r="E30" i="16"/>
  <c r="A15" i="16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I38" i="17"/>
  <c r="I40" i="17" s="1"/>
  <c r="E27" i="11"/>
  <c r="V38" i="17"/>
  <c r="V40" i="17" s="1"/>
  <c r="F27" i="11"/>
  <c r="G27" i="11"/>
  <c r="Y38" i="1"/>
  <c r="Y40" i="1" s="1"/>
  <c r="G27" i="10"/>
  <c r="V38" i="1"/>
  <c r="V40" i="1" s="1"/>
  <c r="F27" i="10"/>
  <c r="BA38" i="17"/>
  <c r="BA40" i="17" s="1"/>
  <c r="BA33" i="13"/>
  <c r="BA38" i="13" s="1"/>
  <c r="BA40" i="13" s="1"/>
  <c r="AL38" i="17"/>
  <c r="AL40" i="17" s="1"/>
  <c r="AL33" i="13"/>
  <c r="AL38" i="13" s="1"/>
  <c r="AL40" i="13" s="1"/>
  <c r="AA38" i="17"/>
  <c r="AA40" i="17" s="1"/>
  <c r="AA33" i="13"/>
  <c r="AA38" i="13" s="1"/>
  <c r="AA40" i="13" s="1"/>
  <c r="AG38" i="17"/>
  <c r="AG40" i="17" s="1"/>
  <c r="AG33" i="13"/>
  <c r="AG38" i="13" s="1"/>
  <c r="AG40" i="13" s="1"/>
  <c r="BB38" i="17"/>
  <c r="BB40" i="17" s="1"/>
  <c r="BB33" i="13"/>
  <c r="BB38" i="13" s="1"/>
  <c r="BB40" i="13" s="1"/>
  <c r="Y38" i="17"/>
  <c r="Y40" i="17" s="1"/>
  <c r="Y33" i="13"/>
  <c r="Y38" i="13" s="1"/>
  <c r="Y40" i="13" s="1"/>
  <c r="AU33" i="13"/>
  <c r="AU38" i="13" s="1"/>
  <c r="AU40" i="13" s="1"/>
  <c r="AU38" i="17"/>
  <c r="AU40" i="17" s="1"/>
  <c r="AY38" i="17"/>
  <c r="AY40" i="17" s="1"/>
  <c r="AY33" i="13"/>
  <c r="AY38" i="13" s="1"/>
  <c r="AY40" i="13" s="1"/>
  <c r="V33" i="13"/>
  <c r="V38" i="13" s="1"/>
  <c r="V40" i="13" s="1"/>
  <c r="D32" i="16" s="1" a="1"/>
  <c r="AK33" i="13"/>
  <c r="AK38" i="13" s="1"/>
  <c r="AK40" i="13" s="1"/>
  <c r="AK38" i="1"/>
  <c r="AK40" i="1" s="1"/>
  <c r="AB38" i="1"/>
  <c r="AB40" i="1" s="1"/>
  <c r="AB33" i="13"/>
  <c r="AB38" i="13" s="1"/>
  <c r="AB40" i="13" s="1"/>
  <c r="AE38" i="1"/>
  <c r="AE40" i="1" s="1"/>
  <c r="AE33" i="13"/>
  <c r="AE38" i="13" s="1"/>
  <c r="AE40" i="13" s="1"/>
  <c r="Z38" i="1"/>
  <c r="Z40" i="1" s="1"/>
  <c r="Z33" i="13"/>
  <c r="Z38" i="13" s="1"/>
  <c r="Z40" i="13" s="1"/>
  <c r="AZ33" i="13"/>
  <c r="AZ38" i="13" s="1"/>
  <c r="AZ40" i="13" s="1"/>
  <c r="AZ38" i="1"/>
  <c r="AZ40" i="1" s="1"/>
  <c r="L38" i="1"/>
  <c r="L40" i="1" s="1"/>
  <c r="L33" i="13"/>
  <c r="L38" i="13" s="1"/>
  <c r="L40" i="13" s="1"/>
  <c r="K38" i="1"/>
  <c r="K40" i="1" s="1"/>
  <c r="K33" i="13"/>
  <c r="K38" i="13" s="1"/>
  <c r="K40" i="13" s="1"/>
  <c r="E85" i="1"/>
  <c r="E87" i="1" s="1"/>
  <c r="E33" i="1" s="1"/>
  <c r="C87" i="17"/>
  <c r="C33" i="17" s="1"/>
  <c r="D27" i="11" s="1"/>
  <c r="A73" i="16" l="1"/>
  <c r="D39" i="16" a="1"/>
  <c r="D39" i="16" s="1"/>
  <c r="D33" i="16"/>
  <c r="D35" i="16"/>
  <c r="D32" i="16"/>
  <c r="D34" i="16"/>
  <c r="D36" i="16"/>
  <c r="E38" i="1"/>
  <c r="E40" i="1" s="1"/>
  <c r="E33" i="13"/>
  <c r="E38" i="13" s="1"/>
  <c r="E40" i="13" s="1"/>
  <c r="E44" i="16"/>
  <c r="D42" i="16" l="1"/>
  <c r="D43" i="16"/>
  <c r="D40" i="16"/>
  <c r="D41" i="16"/>
  <c r="C38" i="17"/>
  <c r="C40" i="17" l="1"/>
  <c r="O63" i="15" l="1"/>
  <c r="C73" i="15"/>
  <c r="E14" i="12" l="1"/>
  <c r="F19" i="15" s="1"/>
  <c r="I21" i="12"/>
  <c r="J26" i="15" s="1"/>
  <c r="I20" i="12"/>
  <c r="J25" i="15" s="1"/>
  <c r="I19" i="12"/>
  <c r="J24" i="15" s="1"/>
  <c r="I18" i="12"/>
  <c r="J23" i="15" s="1"/>
  <c r="I17" i="12"/>
  <c r="J22" i="15" s="1"/>
  <c r="I16" i="12"/>
  <c r="J21" i="15" s="1"/>
  <c r="I15" i="12"/>
  <c r="J20" i="15" s="1"/>
  <c r="I14" i="12"/>
  <c r="J19" i="15" s="1"/>
  <c r="I13" i="12"/>
  <c r="J18" i="15" s="1"/>
  <c r="I9" i="12"/>
  <c r="J14" i="15" s="1"/>
  <c r="I8" i="12"/>
  <c r="J13" i="15" s="1"/>
  <c r="I7" i="12"/>
  <c r="J12" i="15" s="1"/>
  <c r="I6" i="12"/>
  <c r="J11" i="15" s="1"/>
  <c r="E21" i="12"/>
  <c r="F26" i="15" s="1"/>
  <c r="E8" i="12"/>
  <c r="F13" i="15" s="1"/>
  <c r="E7" i="12"/>
  <c r="F12" i="15" s="1"/>
  <c r="E6" i="12"/>
  <c r="F11" i="15" s="1"/>
  <c r="F65" i="1" l="1"/>
  <c r="F54" i="1"/>
  <c r="F29" i="1"/>
  <c r="F16" i="1"/>
  <c r="F67" i="1" l="1"/>
  <c r="F74" i="1"/>
  <c r="F80" i="1" s="1"/>
  <c r="F83" i="1" s="1"/>
  <c r="F85" i="1" l="1"/>
  <c r="F87" i="1" s="1"/>
  <c r="F33" i="1" s="1"/>
  <c r="F33" i="13" l="1"/>
  <c r="F38" i="13" s="1"/>
  <c r="F40" i="13" s="1"/>
  <c r="F38" i="1"/>
  <c r="F40" i="1" s="1"/>
  <c r="I22" i="12"/>
  <c r="J27" i="15" s="1"/>
  <c r="E9" i="12" l="1"/>
  <c r="F14" i="15" s="1"/>
  <c r="E16" i="12" l="1"/>
  <c r="F21" i="15" s="1"/>
  <c r="E20" i="12" l="1"/>
  <c r="E18" i="12"/>
  <c r="E17" i="12"/>
  <c r="F22" i="15" s="1"/>
  <c r="E19" i="12"/>
  <c r="E22" i="12"/>
  <c r="F27" i="15" l="1"/>
  <c r="F25" i="15"/>
  <c r="F24" i="15"/>
  <c r="F23" i="15"/>
  <c r="S65" i="1"/>
  <c r="S54" i="1"/>
  <c r="S29" i="1"/>
  <c r="P65" i="1" l="1"/>
  <c r="Q65" i="1"/>
  <c r="R65" i="1"/>
  <c r="P54" i="1"/>
  <c r="Q54" i="1"/>
  <c r="R54" i="1"/>
  <c r="P29" i="1"/>
  <c r="Q29" i="1"/>
  <c r="R29" i="1"/>
  <c r="P16" i="1"/>
  <c r="Q16" i="1"/>
  <c r="R16" i="1"/>
  <c r="P74" i="1" l="1"/>
  <c r="P80" i="1" s="1"/>
  <c r="P83" i="1" s="1"/>
  <c r="R74" i="1"/>
  <c r="Q67" i="1"/>
  <c r="R67" i="1"/>
  <c r="P67" i="1"/>
  <c r="Q74" i="1"/>
  <c r="Q80" i="1" s="1"/>
  <c r="Q83" i="1" s="1"/>
  <c r="R80" i="1" l="1"/>
  <c r="R83" i="1" s="1"/>
  <c r="R85" i="1" s="1"/>
  <c r="R87" i="1" s="1"/>
  <c r="R33" i="1" s="1"/>
  <c r="Q85" i="1"/>
  <c r="Q87" i="1" s="1"/>
  <c r="Q33" i="1" s="1"/>
  <c r="P85" i="1"/>
  <c r="P87" i="1" s="1"/>
  <c r="P33" i="1" s="1"/>
  <c r="Q33" i="13" l="1"/>
  <c r="Q38" i="13" s="1"/>
  <c r="Q40" i="13" s="1"/>
  <c r="Q38" i="1"/>
  <c r="Q40" i="1" s="1"/>
  <c r="R33" i="13"/>
  <c r="R38" i="13" s="1"/>
  <c r="R40" i="13" s="1"/>
  <c r="R38" i="1"/>
  <c r="R40" i="1" s="1"/>
  <c r="P33" i="13"/>
  <c r="P38" i="13" s="1"/>
  <c r="P40" i="13" s="1"/>
  <c r="P38" i="1"/>
  <c r="P40" i="1" s="1"/>
  <c r="C16" i="13"/>
  <c r="B16" i="13" s="1"/>
  <c r="C65" i="13"/>
  <c r="C54" i="13"/>
  <c r="B54" i="13" s="1"/>
  <c r="C29" i="13"/>
  <c r="B29" i="13" s="1"/>
  <c r="C67" i="13" l="1"/>
  <c r="E11" i="16" s="1" a="1"/>
  <c r="C74" i="13"/>
  <c r="B74" i="13" s="1"/>
  <c r="E13" i="16" l="1"/>
  <c r="E14" i="16"/>
  <c r="E12" i="16"/>
  <c r="E11" i="16"/>
  <c r="E37" i="16"/>
  <c r="C80" i="13"/>
  <c r="E15" i="16" l="1"/>
  <c r="C83" i="13"/>
  <c r="C85" i="13" s="1"/>
  <c r="I68" i="12" l="1"/>
  <c r="J73" i="15" s="1"/>
  <c r="H68" i="12"/>
  <c r="I73" i="15" s="1"/>
  <c r="G68" i="12"/>
  <c r="H73" i="15" s="1"/>
  <c r="F68" i="12"/>
  <c r="G73" i="15" s="1"/>
  <c r="I75" i="12"/>
  <c r="J80" i="15" s="1"/>
  <c r="H75" i="12"/>
  <c r="I80" i="15" s="1"/>
  <c r="G75" i="12"/>
  <c r="H80" i="15" s="1"/>
  <c r="F75" i="12"/>
  <c r="G80" i="15" s="1"/>
  <c r="E75" i="12"/>
  <c r="F80" i="15" s="1"/>
  <c r="D75" i="12"/>
  <c r="I28" i="12"/>
  <c r="J33" i="15" s="1"/>
  <c r="H28" i="12"/>
  <c r="I33" i="15" s="1"/>
  <c r="G28" i="12"/>
  <c r="H33" i="15" s="1"/>
  <c r="F28" i="12"/>
  <c r="G33" i="15" s="1"/>
  <c r="E28" i="12"/>
  <c r="C28" i="12" s="1"/>
  <c r="I70" i="12"/>
  <c r="J75" i="15" s="1"/>
  <c r="I52" i="12"/>
  <c r="J57" i="15" s="1"/>
  <c r="I47" i="12"/>
  <c r="J52" i="15" s="1"/>
  <c r="I41" i="12"/>
  <c r="J46" i="15" s="1"/>
  <c r="I38" i="12"/>
  <c r="I26" i="12"/>
  <c r="J31" i="15" s="1"/>
  <c r="H22" i="12"/>
  <c r="I27" i="15" s="1"/>
  <c r="H21" i="12"/>
  <c r="I26" i="15" s="1"/>
  <c r="H20" i="12"/>
  <c r="I25" i="15" s="1"/>
  <c r="H19" i="12"/>
  <c r="I24" i="15" s="1"/>
  <c r="H18" i="12"/>
  <c r="I23" i="15" s="1"/>
  <c r="H17" i="12"/>
  <c r="I22" i="15" s="1"/>
  <c r="H16" i="12"/>
  <c r="I21" i="15" s="1"/>
  <c r="H15" i="12"/>
  <c r="I20" i="15" s="1"/>
  <c r="H14" i="12"/>
  <c r="I19" i="15" s="1"/>
  <c r="H13" i="12"/>
  <c r="I18" i="15" s="1"/>
  <c r="H9" i="12"/>
  <c r="I14" i="15" s="1"/>
  <c r="H8" i="12"/>
  <c r="I13" i="15" s="1"/>
  <c r="H7" i="12"/>
  <c r="I12" i="15" s="1"/>
  <c r="H6" i="12"/>
  <c r="I11" i="15" s="1"/>
  <c r="E69" i="12"/>
  <c r="F74" i="15" s="1"/>
  <c r="E54" i="12"/>
  <c r="F59" i="15" s="1"/>
  <c r="E46" i="12"/>
  <c r="F51" i="15" s="1"/>
  <c r="I75" i="11"/>
  <c r="I28" i="11" s="1"/>
  <c r="H75" i="11"/>
  <c r="G75" i="11"/>
  <c r="F75" i="11"/>
  <c r="E75" i="11"/>
  <c r="D75" i="11"/>
  <c r="F59" i="11"/>
  <c r="H48" i="11"/>
  <c r="E10" i="11"/>
  <c r="I79" i="12"/>
  <c r="I54" i="12"/>
  <c r="J59" i="15" s="1"/>
  <c r="I46" i="12"/>
  <c r="J51" i="15" s="1"/>
  <c r="I40" i="12"/>
  <c r="J45" i="15" s="1"/>
  <c r="I30" i="12"/>
  <c r="J35" i="15" s="1"/>
  <c r="H72" i="12"/>
  <c r="I77" i="15" s="1"/>
  <c r="H56" i="12"/>
  <c r="I61" i="15" s="1"/>
  <c r="H54" i="12"/>
  <c r="I59" i="15" s="1"/>
  <c r="H51" i="12"/>
  <c r="I56" i="15" s="1"/>
  <c r="H46" i="12"/>
  <c r="I51" i="15" s="1"/>
  <c r="H44" i="12"/>
  <c r="I49" i="15" s="1"/>
  <c r="H42" i="12"/>
  <c r="I47" i="15" s="1"/>
  <c r="H40" i="12"/>
  <c r="I45" i="15" s="1"/>
  <c r="H38" i="12"/>
  <c r="I43" i="15" s="1"/>
  <c r="H31" i="12"/>
  <c r="I36" i="15" s="1"/>
  <c r="H24" i="12"/>
  <c r="I29" i="15" s="1"/>
  <c r="G22" i="12"/>
  <c r="H27" i="15" s="1"/>
  <c r="G21" i="12"/>
  <c r="H26" i="15" s="1"/>
  <c r="G20" i="12"/>
  <c r="H25" i="15" s="1"/>
  <c r="G19" i="12"/>
  <c r="H24" i="15" s="1"/>
  <c r="G18" i="12"/>
  <c r="H23" i="15" s="1"/>
  <c r="G17" i="12"/>
  <c r="H22" i="15" s="1"/>
  <c r="G16" i="12"/>
  <c r="H21" i="15" s="1"/>
  <c r="G15" i="12"/>
  <c r="H20" i="15" s="1"/>
  <c r="G14" i="12"/>
  <c r="H19" i="15" s="1"/>
  <c r="G13" i="12"/>
  <c r="H18" i="15" s="1"/>
  <c r="G9" i="12"/>
  <c r="H14" i="15" s="1"/>
  <c r="G8" i="12"/>
  <c r="H13" i="15" s="1"/>
  <c r="G7" i="12"/>
  <c r="H12" i="15" s="1"/>
  <c r="G6" i="12"/>
  <c r="H11" i="15" s="1"/>
  <c r="F56" i="12"/>
  <c r="G61" i="15" s="1"/>
  <c r="F55" i="12"/>
  <c r="G60" i="15" s="1"/>
  <c r="F52" i="12"/>
  <c r="G57" i="15" s="1"/>
  <c r="F31" i="12"/>
  <c r="G36" i="15" s="1"/>
  <c r="F30" i="12"/>
  <c r="G35" i="15" s="1"/>
  <c r="F25" i="12"/>
  <c r="G30" i="15" s="1"/>
  <c r="F22" i="12"/>
  <c r="G27" i="15" s="1"/>
  <c r="F21" i="12"/>
  <c r="G26" i="15" s="1"/>
  <c r="F20" i="12"/>
  <c r="G25" i="15" s="1"/>
  <c r="F19" i="12"/>
  <c r="G24" i="15" s="1"/>
  <c r="F18" i="12"/>
  <c r="G23" i="15" s="1"/>
  <c r="F15" i="12"/>
  <c r="G20" i="15" s="1"/>
  <c r="F14" i="12"/>
  <c r="G19" i="15" s="1"/>
  <c r="F7" i="12"/>
  <c r="G12" i="15" s="1"/>
  <c r="F6" i="12"/>
  <c r="G11" i="15" s="1"/>
  <c r="E56" i="12"/>
  <c r="F61" i="15" s="1"/>
  <c r="E51" i="12"/>
  <c r="F56" i="15" s="1"/>
  <c r="E44" i="12"/>
  <c r="F49" i="15" s="1"/>
  <c r="E40" i="12"/>
  <c r="F45" i="15" s="1"/>
  <c r="E38" i="12"/>
  <c r="F43" i="15" s="1"/>
  <c r="E37" i="12"/>
  <c r="F42" i="15" s="1"/>
  <c r="E31" i="12"/>
  <c r="F36" i="15" s="1"/>
  <c r="E30" i="12"/>
  <c r="F35" i="15" s="1"/>
  <c r="E26" i="12"/>
  <c r="F31" i="15" s="1"/>
  <c r="E25" i="12"/>
  <c r="F30" i="15" s="1"/>
  <c r="E24" i="12"/>
  <c r="D75" i="10"/>
  <c r="D52" i="12"/>
  <c r="E57" i="15" s="1"/>
  <c r="D51" i="12"/>
  <c r="E56" i="15" s="1"/>
  <c r="D47" i="12"/>
  <c r="D46" i="12"/>
  <c r="D45" i="12"/>
  <c r="E50" i="15" s="1"/>
  <c r="D44" i="12"/>
  <c r="E49" i="15" s="1"/>
  <c r="D43" i="12"/>
  <c r="E48" i="15" s="1"/>
  <c r="D42" i="12"/>
  <c r="E47" i="15" s="1"/>
  <c r="D41" i="12"/>
  <c r="D40" i="12"/>
  <c r="D39" i="12"/>
  <c r="E44" i="15" s="1"/>
  <c r="D38" i="12"/>
  <c r="E43" i="15" s="1"/>
  <c r="D37" i="12"/>
  <c r="E42" i="15" s="1"/>
  <c r="D31" i="12"/>
  <c r="D30" i="12"/>
  <c r="D22" i="12"/>
  <c r="D21" i="12"/>
  <c r="D20" i="12"/>
  <c r="D19" i="12"/>
  <c r="D18" i="12"/>
  <c r="D16" i="12"/>
  <c r="E21" i="15" s="1"/>
  <c r="D15" i="12"/>
  <c r="D14" i="12"/>
  <c r="D13" i="12"/>
  <c r="E18" i="15" s="1"/>
  <c r="D8" i="12"/>
  <c r="E13" i="15" s="1"/>
  <c r="D7" i="12"/>
  <c r="I75" i="10"/>
  <c r="H75" i="10"/>
  <c r="G75" i="10"/>
  <c r="F75" i="10"/>
  <c r="E75" i="10"/>
  <c r="H48" i="10"/>
  <c r="I28" i="10"/>
  <c r="I56" i="12"/>
  <c r="I57" i="12"/>
  <c r="J62" i="15" s="1"/>
  <c r="I72" i="12"/>
  <c r="J77" i="15" s="1"/>
  <c r="I45" i="12"/>
  <c r="I51" i="12"/>
  <c r="J56" i="15" s="1"/>
  <c r="I43" i="12"/>
  <c r="I37" i="12"/>
  <c r="F72" i="12"/>
  <c r="G77" i="15" s="1"/>
  <c r="F71" i="12"/>
  <c r="G76" i="15" s="1"/>
  <c r="F51" i="12"/>
  <c r="F29" i="12"/>
  <c r="G34" i="15" s="1"/>
  <c r="F26" i="12"/>
  <c r="F9" i="12"/>
  <c r="G14" i="15" s="1"/>
  <c r="F57" i="12"/>
  <c r="G62" i="15" s="1"/>
  <c r="D17" i="12"/>
  <c r="E22" i="15" s="1"/>
  <c r="D9" i="12"/>
  <c r="D53" i="12"/>
  <c r="D6" i="12"/>
  <c r="F8" i="12"/>
  <c r="F17" i="12"/>
  <c r="F16" i="12"/>
  <c r="F13" i="12"/>
  <c r="E80" i="15" l="1"/>
  <c r="M80" i="15" s="1"/>
  <c r="O80" i="15" s="1"/>
  <c r="C75" i="12"/>
  <c r="C28" i="11"/>
  <c r="C75" i="11"/>
  <c r="C75" i="10"/>
  <c r="C28" i="10"/>
  <c r="E12" i="15"/>
  <c r="C7" i="12"/>
  <c r="E23" i="15"/>
  <c r="C18" i="12"/>
  <c r="E19" i="15"/>
  <c r="C14" i="12"/>
  <c r="E24" i="15"/>
  <c r="C19" i="12"/>
  <c r="E26" i="15"/>
  <c r="C21" i="12"/>
  <c r="E35" i="15"/>
  <c r="E46" i="15"/>
  <c r="E52" i="15"/>
  <c r="E20" i="15"/>
  <c r="E25" i="15"/>
  <c r="C20" i="12"/>
  <c r="E27" i="15"/>
  <c r="C22" i="12"/>
  <c r="E45" i="15"/>
  <c r="E51" i="15"/>
  <c r="E11" i="15"/>
  <c r="C6" i="12"/>
  <c r="E14" i="15"/>
  <c r="C9" i="12"/>
  <c r="G56" i="15"/>
  <c r="J48" i="15"/>
  <c r="J50" i="15"/>
  <c r="E58" i="15"/>
  <c r="J61" i="15"/>
  <c r="F29" i="15"/>
  <c r="G31" i="15"/>
  <c r="E36" i="15"/>
  <c r="J43" i="15"/>
  <c r="G22" i="15"/>
  <c r="M22" i="15" s="1"/>
  <c r="C17" i="12"/>
  <c r="G21" i="15"/>
  <c r="M21" i="15" s="1"/>
  <c r="C16" i="12"/>
  <c r="G13" i="15"/>
  <c r="M13" i="15" s="1"/>
  <c r="C8" i="12"/>
  <c r="J42" i="15"/>
  <c r="G18" i="15"/>
  <c r="M33" i="15"/>
  <c r="F33" i="15"/>
  <c r="F23" i="11"/>
  <c r="F15" i="15"/>
  <c r="J28" i="15"/>
  <c r="F48" i="11"/>
  <c r="F61" i="11" s="1"/>
  <c r="H10" i="11"/>
  <c r="H23" i="11"/>
  <c r="F24" i="12"/>
  <c r="G29" i="15" s="1"/>
  <c r="H69" i="12"/>
  <c r="I55" i="12"/>
  <c r="D24" i="12"/>
  <c r="E29" i="15" s="1"/>
  <c r="D26" i="12"/>
  <c r="E31" i="15" s="1"/>
  <c r="D54" i="12"/>
  <c r="E59" i="15" s="1"/>
  <c r="D56" i="12"/>
  <c r="E61" i="15" s="1"/>
  <c r="D69" i="12"/>
  <c r="E74" i="15" s="1"/>
  <c r="D79" i="12"/>
  <c r="E42" i="12"/>
  <c r="F47" i="15" s="1"/>
  <c r="F39" i="12"/>
  <c r="G44" i="15" s="1"/>
  <c r="F41" i="12"/>
  <c r="G46" i="15" s="1"/>
  <c r="F43" i="12"/>
  <c r="G48" i="15" s="1"/>
  <c r="F45" i="12"/>
  <c r="G50" i="15" s="1"/>
  <c r="F47" i="12"/>
  <c r="G52" i="15" s="1"/>
  <c r="F69" i="12"/>
  <c r="G74" i="15" s="1"/>
  <c r="F79" i="12"/>
  <c r="G25" i="12"/>
  <c r="H30" i="15" s="1"/>
  <c r="G29" i="12"/>
  <c r="H34" i="15" s="1"/>
  <c r="G31" i="12"/>
  <c r="H36" i="15" s="1"/>
  <c r="G38" i="12"/>
  <c r="H43" i="15" s="1"/>
  <c r="G40" i="12"/>
  <c r="H45" i="15" s="1"/>
  <c r="G42" i="12"/>
  <c r="H47" i="15" s="1"/>
  <c r="G44" i="12"/>
  <c r="H49" i="15" s="1"/>
  <c r="G46" i="12"/>
  <c r="H51" i="15" s="1"/>
  <c r="G52" i="12"/>
  <c r="G54" i="12"/>
  <c r="H59" i="15" s="1"/>
  <c r="G56" i="12"/>
  <c r="H61" i="15" s="1"/>
  <c r="G69" i="12"/>
  <c r="H74" i="15" s="1"/>
  <c r="G71" i="12"/>
  <c r="H76" i="15" s="1"/>
  <c r="G79" i="12"/>
  <c r="H25" i="12"/>
  <c r="I30" i="15" s="1"/>
  <c r="H30" i="12"/>
  <c r="I35" i="15" s="1"/>
  <c r="H37" i="12"/>
  <c r="I42" i="15" s="1"/>
  <c r="H39" i="12"/>
  <c r="I44" i="15" s="1"/>
  <c r="H41" i="12"/>
  <c r="I46" i="15" s="1"/>
  <c r="H43" i="12"/>
  <c r="I48" i="15" s="1"/>
  <c r="H45" i="12"/>
  <c r="I50" i="15" s="1"/>
  <c r="H47" i="12"/>
  <c r="I52" i="15" s="1"/>
  <c r="H52" i="12"/>
  <c r="I57" i="15" s="1"/>
  <c r="E10" i="12"/>
  <c r="G10" i="11"/>
  <c r="G23" i="11"/>
  <c r="H59" i="11"/>
  <c r="H61" i="11" s="1"/>
  <c r="I23" i="11"/>
  <c r="D29" i="12"/>
  <c r="F10" i="11"/>
  <c r="F53" i="12"/>
  <c r="G58" i="15" s="1"/>
  <c r="I10" i="11"/>
  <c r="I44" i="12"/>
  <c r="I42" i="12"/>
  <c r="I24" i="12"/>
  <c r="J29" i="15" s="1"/>
  <c r="H23" i="10"/>
  <c r="D48" i="10"/>
  <c r="D25" i="12"/>
  <c r="E30" i="15" s="1"/>
  <c r="D55" i="12"/>
  <c r="E60" i="15" s="1"/>
  <c r="D57" i="12"/>
  <c r="D70" i="12"/>
  <c r="E75" i="15" s="1"/>
  <c r="E41" i="12"/>
  <c r="F46" i="15" s="1"/>
  <c r="E43" i="12"/>
  <c r="F48" i="15" s="1"/>
  <c r="E45" i="12"/>
  <c r="F50" i="15" s="1"/>
  <c r="E47" i="12"/>
  <c r="F52" i="15" s="1"/>
  <c r="E52" i="12"/>
  <c r="F57" i="15" s="1"/>
  <c r="E55" i="12"/>
  <c r="F60" i="15" s="1"/>
  <c r="E57" i="12"/>
  <c r="F62" i="15" s="1"/>
  <c r="E70" i="12"/>
  <c r="F75" i="15" s="1"/>
  <c r="F38" i="12"/>
  <c r="G43" i="15" s="1"/>
  <c r="F40" i="12"/>
  <c r="G45" i="15" s="1"/>
  <c r="F42" i="12"/>
  <c r="G47" i="15" s="1"/>
  <c r="F44" i="12"/>
  <c r="G49" i="15" s="1"/>
  <c r="F46" i="12"/>
  <c r="G51" i="15" s="1"/>
  <c r="F70" i="12"/>
  <c r="G75" i="15" s="1"/>
  <c r="G24" i="12"/>
  <c r="H29" i="15" s="1"/>
  <c r="G26" i="12"/>
  <c r="H31" i="15" s="1"/>
  <c r="G30" i="12"/>
  <c r="H35" i="15" s="1"/>
  <c r="G37" i="12"/>
  <c r="H42" i="15" s="1"/>
  <c r="G39" i="12"/>
  <c r="H44" i="15" s="1"/>
  <c r="G41" i="12"/>
  <c r="H46" i="15" s="1"/>
  <c r="G43" i="12"/>
  <c r="H48" i="15" s="1"/>
  <c r="G45" i="12"/>
  <c r="H50" i="15" s="1"/>
  <c r="G47" i="12"/>
  <c r="H52" i="15" s="1"/>
  <c r="G53" i="12"/>
  <c r="H58" i="15" s="1"/>
  <c r="G55" i="12"/>
  <c r="H60" i="15" s="1"/>
  <c r="G57" i="12"/>
  <c r="H62" i="15" s="1"/>
  <c r="G70" i="12"/>
  <c r="H75" i="15" s="1"/>
  <c r="G72" i="12"/>
  <c r="H77" i="15" s="1"/>
  <c r="H55" i="12"/>
  <c r="I60" i="15" s="1"/>
  <c r="H57" i="12"/>
  <c r="I62" i="15" s="1"/>
  <c r="I69" i="12"/>
  <c r="J74" i="15" s="1"/>
  <c r="D23" i="11"/>
  <c r="D48" i="11"/>
  <c r="C87" i="13"/>
  <c r="C93" i="13" s="1"/>
  <c r="I48" i="11"/>
  <c r="I71" i="12"/>
  <c r="J76" i="15" s="1"/>
  <c r="I59" i="11"/>
  <c r="E59" i="11"/>
  <c r="G59" i="11"/>
  <c r="D10" i="11"/>
  <c r="E48" i="11"/>
  <c r="E53" i="12"/>
  <c r="F58" i="15" s="1"/>
  <c r="G51" i="12"/>
  <c r="H56" i="15" s="1"/>
  <c r="I25" i="12"/>
  <c r="E39" i="12"/>
  <c r="F44" i="15" s="1"/>
  <c r="H79" i="12"/>
  <c r="E29" i="12"/>
  <c r="F34" i="15" s="1"/>
  <c r="E72" i="12"/>
  <c r="F77" i="15" s="1"/>
  <c r="E71" i="12"/>
  <c r="F76" i="15" s="1"/>
  <c r="H29" i="12"/>
  <c r="I34" i="15" s="1"/>
  <c r="D71" i="12"/>
  <c r="F37" i="12"/>
  <c r="G42" i="15" s="1"/>
  <c r="F48" i="10"/>
  <c r="I31" i="12"/>
  <c r="J36" i="15" s="1"/>
  <c r="F23" i="10"/>
  <c r="D72" i="12"/>
  <c r="F54" i="12"/>
  <c r="I23" i="12"/>
  <c r="D48" i="12"/>
  <c r="D23" i="10"/>
  <c r="D59" i="11"/>
  <c r="F10" i="10"/>
  <c r="H10" i="10"/>
  <c r="D59" i="10"/>
  <c r="F59" i="10"/>
  <c r="E10" i="10"/>
  <c r="G10" i="10"/>
  <c r="I10" i="10"/>
  <c r="E23" i="10"/>
  <c r="G23" i="10"/>
  <c r="I23" i="10"/>
  <c r="E48" i="10"/>
  <c r="G48" i="10"/>
  <c r="I48" i="10"/>
  <c r="E59" i="10"/>
  <c r="G59" i="10"/>
  <c r="I59" i="10"/>
  <c r="D10" i="10"/>
  <c r="G67" i="11" l="1"/>
  <c r="G73" i="11" s="1"/>
  <c r="G76" i="11" s="1"/>
  <c r="G78" i="11" s="1"/>
  <c r="G61" i="11"/>
  <c r="D61" i="10"/>
  <c r="E53" i="15"/>
  <c r="C56" i="12"/>
  <c r="C46" i="12"/>
  <c r="C40" i="12"/>
  <c r="C47" i="12"/>
  <c r="C41" i="12"/>
  <c r="C30" i="12"/>
  <c r="C38" i="12"/>
  <c r="C45" i="12"/>
  <c r="C43" i="12"/>
  <c r="G59" i="15"/>
  <c r="G64" i="15" s="1"/>
  <c r="C54" i="12"/>
  <c r="J30" i="15"/>
  <c r="M30" i="15" s="1"/>
  <c r="C25" i="12"/>
  <c r="E62" i="15"/>
  <c r="M62" i="15" s="1"/>
  <c r="C57" i="12"/>
  <c r="J47" i="15"/>
  <c r="M47" i="15" s="1"/>
  <c r="C42" i="12"/>
  <c r="J60" i="15"/>
  <c r="M60" i="15" s="1"/>
  <c r="C55" i="12"/>
  <c r="C37" i="12"/>
  <c r="C31" i="12"/>
  <c r="C24" i="12"/>
  <c r="C51" i="12"/>
  <c r="E77" i="15"/>
  <c r="M77" i="15" s="1"/>
  <c r="C72" i="12"/>
  <c r="E76" i="15"/>
  <c r="J49" i="15"/>
  <c r="M49" i="15" s="1"/>
  <c r="C44" i="12"/>
  <c r="E34" i="15"/>
  <c r="H57" i="15"/>
  <c r="H64" i="15" s="1"/>
  <c r="C52" i="12"/>
  <c r="I74" i="15"/>
  <c r="M74" i="15" s="1"/>
  <c r="C69" i="12"/>
  <c r="F67" i="11"/>
  <c r="F59" i="12"/>
  <c r="D61" i="11"/>
  <c r="H67" i="10"/>
  <c r="G28" i="15"/>
  <c r="M36" i="15"/>
  <c r="M12" i="15"/>
  <c r="M35" i="15"/>
  <c r="M45" i="15"/>
  <c r="M19" i="15"/>
  <c r="M50" i="15"/>
  <c r="M46" i="15"/>
  <c r="M52" i="15"/>
  <c r="M48" i="15"/>
  <c r="I28" i="15"/>
  <c r="I15" i="15"/>
  <c r="H28" i="15"/>
  <c r="M51" i="15"/>
  <c r="M43" i="15"/>
  <c r="H53" i="15"/>
  <c r="H15" i="15"/>
  <c r="I53" i="15"/>
  <c r="M61" i="15"/>
  <c r="M26" i="15"/>
  <c r="F10" i="12"/>
  <c r="G15" i="15"/>
  <c r="M23" i="15"/>
  <c r="M25" i="15"/>
  <c r="E48" i="12"/>
  <c r="F53" i="15"/>
  <c r="M24" i="15"/>
  <c r="M27" i="15"/>
  <c r="M42" i="15"/>
  <c r="M56" i="15"/>
  <c r="M29" i="15"/>
  <c r="J15" i="15"/>
  <c r="E28" i="15"/>
  <c r="E15" i="15"/>
  <c r="M11" i="15"/>
  <c r="C59" i="11"/>
  <c r="H67" i="11"/>
  <c r="H10" i="12"/>
  <c r="D59" i="12"/>
  <c r="D61" i="12" s="1"/>
  <c r="H23" i="12"/>
  <c r="G59" i="12"/>
  <c r="H48" i="12"/>
  <c r="F48" i="12"/>
  <c r="I67" i="11"/>
  <c r="I73" i="11" s="1"/>
  <c r="I76" i="11" s="1"/>
  <c r="I78" i="11" s="1"/>
  <c r="I10" i="12"/>
  <c r="I67" i="12" s="1"/>
  <c r="J72" i="15" s="1"/>
  <c r="I29" i="12"/>
  <c r="J34" i="15" s="1"/>
  <c r="G48" i="12"/>
  <c r="G23" i="12"/>
  <c r="G61" i="10"/>
  <c r="E59" i="12"/>
  <c r="G10" i="12"/>
  <c r="D67" i="11"/>
  <c r="D73" i="11" s="1"/>
  <c r="F61" i="10"/>
  <c r="D10" i="12"/>
  <c r="I39" i="12"/>
  <c r="F67" i="10"/>
  <c r="F23" i="12"/>
  <c r="D67" i="10"/>
  <c r="D73" i="10" s="1"/>
  <c r="D76" i="10" s="1"/>
  <c r="D78" i="10" s="1"/>
  <c r="E61" i="11"/>
  <c r="I61" i="10"/>
  <c r="H26" i="12"/>
  <c r="C26" i="12" s="1"/>
  <c r="I53" i="12"/>
  <c r="J58" i="15" s="1"/>
  <c r="I61" i="11"/>
  <c r="C10" i="11"/>
  <c r="I67" i="10"/>
  <c r="I73" i="10" s="1"/>
  <c r="I76" i="10" s="1"/>
  <c r="I78" i="10" s="1"/>
  <c r="E61" i="10"/>
  <c r="G67" i="10"/>
  <c r="G73" i="10" s="1"/>
  <c r="G76" i="10" s="1"/>
  <c r="G78" i="10" s="1"/>
  <c r="D23" i="12"/>
  <c r="C10" i="10"/>
  <c r="E67" i="10"/>
  <c r="E73" i="10" s="1"/>
  <c r="E76" i="10" s="1"/>
  <c r="E78" i="10" s="1"/>
  <c r="C23" i="10"/>
  <c r="M57" i="15" l="1"/>
  <c r="F61" i="12"/>
  <c r="E64" i="15"/>
  <c r="E66" i="15" s="1"/>
  <c r="J44" i="15"/>
  <c r="C39" i="12"/>
  <c r="C29" i="12"/>
  <c r="F73" i="10"/>
  <c r="C67" i="10"/>
  <c r="F73" i="11"/>
  <c r="E61" i="12"/>
  <c r="F67" i="12"/>
  <c r="F73" i="12" s="1"/>
  <c r="I31" i="15"/>
  <c r="M31" i="15" s="1"/>
  <c r="H66" i="15"/>
  <c r="M14" i="15"/>
  <c r="G67" i="12"/>
  <c r="H72" i="15" s="1"/>
  <c r="G61" i="12"/>
  <c r="M59" i="15"/>
  <c r="F64" i="15"/>
  <c r="F66" i="15" s="1"/>
  <c r="G53" i="15"/>
  <c r="G66" i="15" s="1"/>
  <c r="E80" i="10"/>
  <c r="I80" i="10"/>
  <c r="I27" i="10" s="1"/>
  <c r="I32" i="10" s="1"/>
  <c r="I34" i="10" s="1"/>
  <c r="D80" i="10"/>
  <c r="I59" i="12"/>
  <c r="M34" i="15"/>
  <c r="I80" i="11"/>
  <c r="I27" i="11" s="1"/>
  <c r="I32" i="11" s="1"/>
  <c r="I34" i="11" s="1"/>
  <c r="I73" i="12"/>
  <c r="J78" i="15" s="1"/>
  <c r="C10" i="12"/>
  <c r="D67" i="12"/>
  <c r="E72" i="15" s="1"/>
  <c r="I48" i="12"/>
  <c r="H67" i="12"/>
  <c r="I72" i="15" s="1"/>
  <c r="D76" i="11"/>
  <c r="D78" i="11" s="1"/>
  <c r="G78" i="15" l="1"/>
  <c r="F76" i="11"/>
  <c r="F78" i="11" s="1"/>
  <c r="F76" i="10"/>
  <c r="F78" i="10" s="1"/>
  <c r="G72" i="15"/>
  <c r="I61" i="12"/>
  <c r="M15" i="15"/>
  <c r="G73" i="12"/>
  <c r="H78" i="15" s="1"/>
  <c r="F76" i="12"/>
  <c r="F78" i="12" s="1"/>
  <c r="M44" i="15"/>
  <c r="J53" i="15"/>
  <c r="J64" i="15"/>
  <c r="I76" i="12"/>
  <c r="D73" i="12"/>
  <c r="D80" i="11"/>
  <c r="J81" i="15" l="1"/>
  <c r="I78" i="12"/>
  <c r="G81" i="15"/>
  <c r="D76" i="12"/>
  <c r="E78" i="15"/>
  <c r="G76" i="12"/>
  <c r="M53" i="15"/>
  <c r="J66" i="15"/>
  <c r="E81" i="15" l="1"/>
  <c r="D78" i="12"/>
  <c r="D80" i="12" s="1"/>
  <c r="E83" i="15" s="1"/>
  <c r="H81" i="15"/>
  <c r="G78" i="12"/>
  <c r="F80" i="11"/>
  <c r="F80" i="10"/>
  <c r="F80" i="12"/>
  <c r="I80" i="12"/>
  <c r="J83" i="15" s="1"/>
  <c r="D32" i="11"/>
  <c r="D34" i="11" s="1"/>
  <c r="G83" i="15" l="1"/>
  <c r="F32" i="10"/>
  <c r="F34" i="10" s="1"/>
  <c r="F32" i="11"/>
  <c r="F34" i="11" s="1"/>
  <c r="F27" i="12"/>
  <c r="G32" i="15" s="1"/>
  <c r="I27" i="12"/>
  <c r="D27" i="12"/>
  <c r="E32" i="15" s="1"/>
  <c r="J32" i="15" l="1"/>
  <c r="J37" i="15" s="1"/>
  <c r="J39" i="15" s="1"/>
  <c r="I32" i="12"/>
  <c r="I34" i="12" s="1"/>
  <c r="F32" i="12"/>
  <c r="F34" i="12" s="1"/>
  <c r="G37" i="15"/>
  <c r="G39" i="15" s="1"/>
  <c r="D32" i="12"/>
  <c r="D34" i="12" s="1"/>
  <c r="V82" i="5"/>
  <c r="V78" i="5"/>
  <c r="V75" i="5"/>
  <c r="X75" i="5" s="1"/>
  <c r="V74" i="5"/>
  <c r="V73" i="5"/>
  <c r="V72" i="5"/>
  <c r="V71" i="5"/>
  <c r="X71" i="5" s="1"/>
  <c r="V61" i="5"/>
  <c r="V60" i="5"/>
  <c r="V59" i="5"/>
  <c r="V58" i="5"/>
  <c r="X58" i="5" s="1"/>
  <c r="V57" i="5"/>
  <c r="V56" i="5"/>
  <c r="V55" i="5"/>
  <c r="V54" i="5"/>
  <c r="X54" i="5" s="1"/>
  <c r="V50" i="5"/>
  <c r="V49" i="5"/>
  <c r="V48" i="5"/>
  <c r="V47" i="5"/>
  <c r="X47" i="5" s="1"/>
  <c r="V46" i="5"/>
  <c r="V45" i="5"/>
  <c r="V44" i="5"/>
  <c r="V43" i="5"/>
  <c r="X43" i="5" s="1"/>
  <c r="V42" i="5"/>
  <c r="V41" i="5"/>
  <c r="V40" i="5"/>
  <c r="V34" i="5"/>
  <c r="X34" i="5" s="1"/>
  <c r="V33" i="5"/>
  <c r="V32" i="5"/>
  <c r="V28" i="5"/>
  <c r="V27" i="5"/>
  <c r="X27" i="5" s="1"/>
  <c r="V25" i="5"/>
  <c r="V24" i="5"/>
  <c r="V23" i="5"/>
  <c r="V21" i="5"/>
  <c r="X21" i="5" s="1"/>
  <c r="V20" i="5"/>
  <c r="V19" i="5"/>
  <c r="V18" i="5"/>
  <c r="V17" i="5"/>
  <c r="X17" i="5" s="1"/>
  <c r="V16" i="5"/>
  <c r="V12" i="5"/>
  <c r="V11" i="5"/>
  <c r="V10" i="5"/>
  <c r="X10" i="5" s="1"/>
  <c r="X78" i="5"/>
  <c r="X74" i="5"/>
  <c r="X73" i="5"/>
  <c r="X72" i="5"/>
  <c r="X61" i="5"/>
  <c r="X60" i="5"/>
  <c r="X59" i="5"/>
  <c r="X57" i="5"/>
  <c r="X56" i="5"/>
  <c r="X55" i="5"/>
  <c r="X50" i="5"/>
  <c r="X49" i="5"/>
  <c r="X48" i="5"/>
  <c r="X46" i="5"/>
  <c r="X45" i="5"/>
  <c r="X44" i="5"/>
  <c r="X42" i="5"/>
  <c r="X41" i="5"/>
  <c r="X40" i="5"/>
  <c r="X33" i="5"/>
  <c r="X32" i="5"/>
  <c r="X28" i="5"/>
  <c r="X25" i="5"/>
  <c r="X24" i="5"/>
  <c r="X23" i="5"/>
  <c r="X20" i="5"/>
  <c r="X19" i="5"/>
  <c r="X18" i="5"/>
  <c r="X16" i="5"/>
  <c r="X12" i="5"/>
  <c r="X11" i="5"/>
  <c r="R78" i="5"/>
  <c r="R71" i="5"/>
  <c r="T71" i="5" s="1"/>
  <c r="R61" i="5"/>
  <c r="T61" i="5" s="1"/>
  <c r="N78" i="5"/>
  <c r="N71" i="5"/>
  <c r="P71" i="5" s="1"/>
  <c r="N61" i="5"/>
  <c r="P61" i="5" s="1"/>
  <c r="J78" i="5"/>
  <c r="J61" i="5"/>
  <c r="L61" i="5" s="1"/>
  <c r="F78" i="5"/>
  <c r="F71" i="5"/>
  <c r="H71" i="5" s="1"/>
  <c r="F61" i="5"/>
  <c r="H61" i="5" s="1"/>
  <c r="B78" i="5"/>
  <c r="B61" i="5"/>
  <c r="E37" i="15" l="1"/>
  <c r="E39" i="15" s="1"/>
  <c r="D61" i="5"/>
  <c r="N31" i="4"/>
  <c r="L62" i="4"/>
  <c r="V62" i="5" s="1"/>
  <c r="X62" i="5" s="1"/>
  <c r="L51" i="4"/>
  <c r="N61" i="4"/>
  <c r="L31" i="4"/>
  <c r="V31" i="5" s="1"/>
  <c r="D83" i="4"/>
  <c r="N82" i="5" l="1"/>
  <c r="L64" i="4"/>
  <c r="V64" i="5" s="1"/>
  <c r="X64" i="5" s="1"/>
  <c r="V51" i="5"/>
  <c r="X51" i="5" s="1"/>
  <c r="F82" i="5"/>
  <c r="J31" i="4" l="1"/>
  <c r="R31" i="5" s="1"/>
  <c r="H31" i="4"/>
  <c r="N31" i="5" s="1"/>
  <c r="F31" i="4"/>
  <c r="J31" i="5" s="1"/>
  <c r="D31" i="4"/>
  <c r="B71" i="5"/>
  <c r="F31" i="5" l="1"/>
  <c r="F72" i="4"/>
  <c r="J71" i="5" s="1"/>
  <c r="L71" i="5" s="1"/>
  <c r="D71" i="5"/>
  <c r="D32" i="4" l="1"/>
  <c r="F32" i="5" l="1"/>
  <c r="N72" i="5" l="1"/>
  <c r="N59" i="5" l="1"/>
  <c r="N58" i="5"/>
  <c r="N57" i="5"/>
  <c r="N55" i="5"/>
  <c r="N50" i="5"/>
  <c r="N49" i="5"/>
  <c r="N47" i="5"/>
  <c r="N46" i="5"/>
  <c r="N45" i="5"/>
  <c r="N44" i="5"/>
  <c r="N43" i="5"/>
  <c r="N41" i="5"/>
  <c r="N33" i="5"/>
  <c r="N24" i="5"/>
  <c r="N17" i="5"/>
  <c r="N10" i="5"/>
  <c r="N74" i="5"/>
  <c r="N27" i="5"/>
  <c r="N32" i="5" l="1"/>
  <c r="D76" i="4"/>
  <c r="D75" i="4"/>
  <c r="D73" i="4"/>
  <c r="N21" i="5"/>
  <c r="N25" i="5"/>
  <c r="N42" i="5"/>
  <c r="N75" i="5"/>
  <c r="N40" i="5"/>
  <c r="N56" i="5"/>
  <c r="N34" i="5"/>
  <c r="N54" i="5"/>
  <c r="N9" i="5"/>
  <c r="N20" i="5"/>
  <c r="N23" i="5"/>
  <c r="N22" i="5"/>
  <c r="N11" i="5"/>
  <c r="N28" i="5"/>
  <c r="N60" i="5"/>
  <c r="N12" i="5"/>
  <c r="F72" i="5" l="1"/>
  <c r="F75" i="5"/>
  <c r="F74" i="5"/>
  <c r="H62" i="4"/>
  <c r="N62" i="5" s="1"/>
  <c r="H13" i="4"/>
  <c r="N13" i="5" s="1"/>
  <c r="AU54" i="1"/>
  <c r="AU29" i="1"/>
  <c r="AU16" i="1"/>
  <c r="AJ54" i="1"/>
  <c r="AJ29" i="1"/>
  <c r="AJ16" i="1"/>
  <c r="N19" i="5" l="1"/>
  <c r="AU74" i="1"/>
  <c r="AJ74" i="1"/>
  <c r="AJ80" i="1" s="1"/>
  <c r="AJ65" i="1"/>
  <c r="AJ67" i="1" s="1"/>
  <c r="S16" i="1"/>
  <c r="S74" i="1" s="1"/>
  <c r="S80" i="1" s="1"/>
  <c r="S83" i="1" s="1"/>
  <c r="S85" i="1" l="1"/>
  <c r="S87" i="1" s="1"/>
  <c r="S33" i="1" s="1"/>
  <c r="AJ83" i="1"/>
  <c r="AU65" i="1"/>
  <c r="AU67" i="1" s="1"/>
  <c r="AU80" i="1"/>
  <c r="S67" i="1"/>
  <c r="O65" i="1"/>
  <c r="O54" i="1"/>
  <c r="O16" i="1"/>
  <c r="AJ85" i="1" l="1"/>
  <c r="AJ87" i="1" s="1"/>
  <c r="AJ33" i="1" s="1"/>
  <c r="S38" i="1"/>
  <c r="S40" i="1" s="1"/>
  <c r="S33" i="13"/>
  <c r="S38" i="13" s="1"/>
  <c r="S40" i="13" s="1"/>
  <c r="AU83" i="1"/>
  <c r="AU38" i="1"/>
  <c r="AU40" i="1" s="1"/>
  <c r="O67" i="1"/>
  <c r="O29" i="1"/>
  <c r="O74" i="1" s="1"/>
  <c r="O80" i="1" s="1"/>
  <c r="D16" i="1"/>
  <c r="AQ54" i="1"/>
  <c r="AW29" i="1"/>
  <c r="D34" i="4"/>
  <c r="J29" i="1"/>
  <c r="AH65" i="1"/>
  <c r="AX16" i="1"/>
  <c r="AX29" i="1"/>
  <c r="AX54" i="1"/>
  <c r="AX65" i="1"/>
  <c r="AW16" i="1"/>
  <c r="AW54" i="1"/>
  <c r="AW65" i="1"/>
  <c r="AV65" i="1"/>
  <c r="AV16" i="1"/>
  <c r="AV29" i="1"/>
  <c r="AS54" i="1"/>
  <c r="AS16" i="1"/>
  <c r="AS29" i="1"/>
  <c r="AR29" i="1"/>
  <c r="AR16" i="1"/>
  <c r="AR54" i="1"/>
  <c r="AR65" i="1"/>
  <c r="AQ65" i="1"/>
  <c r="AQ16" i="1"/>
  <c r="AQ29" i="1"/>
  <c r="AP65" i="1"/>
  <c r="AP16" i="1"/>
  <c r="AP29" i="1"/>
  <c r="AI16" i="1"/>
  <c r="AI29" i="1"/>
  <c r="AI54" i="1"/>
  <c r="AH16" i="1"/>
  <c r="AH29" i="1"/>
  <c r="AH54" i="1"/>
  <c r="AF29" i="1"/>
  <c r="AF16" i="1"/>
  <c r="AF54" i="1"/>
  <c r="AD16" i="1"/>
  <c r="AD29" i="1"/>
  <c r="AD54" i="1"/>
  <c r="AD65" i="1"/>
  <c r="N16" i="1"/>
  <c r="N54" i="1"/>
  <c r="N65" i="1"/>
  <c r="M16" i="1"/>
  <c r="M54" i="1"/>
  <c r="M65" i="1"/>
  <c r="J16" i="1"/>
  <c r="J54" i="1"/>
  <c r="J65" i="1"/>
  <c r="I16" i="1"/>
  <c r="I54" i="1"/>
  <c r="I65" i="1"/>
  <c r="H16" i="1"/>
  <c r="H29" i="1"/>
  <c r="H54" i="1"/>
  <c r="H65" i="1"/>
  <c r="G16" i="1"/>
  <c r="G29" i="1"/>
  <c r="G54" i="1"/>
  <c r="G65" i="1"/>
  <c r="D29" i="1"/>
  <c r="D54" i="1"/>
  <c r="D65" i="1"/>
  <c r="C16" i="1"/>
  <c r="C29" i="1"/>
  <c r="C54" i="1"/>
  <c r="C65" i="1"/>
  <c r="D16" i="4"/>
  <c r="D11" i="4"/>
  <c r="D59" i="4"/>
  <c r="D55" i="4"/>
  <c r="D50" i="4"/>
  <c r="D49" i="4"/>
  <c r="D47" i="4"/>
  <c r="D46" i="4"/>
  <c r="D44" i="4"/>
  <c r="D43" i="4"/>
  <c r="D41" i="4"/>
  <c r="D33" i="4"/>
  <c r="D24" i="4"/>
  <c r="D20" i="4"/>
  <c r="D18" i="4"/>
  <c r="D17" i="4"/>
  <c r="D12" i="4"/>
  <c r="D10" i="4"/>
  <c r="B16" i="1" l="1"/>
  <c r="AJ33" i="13"/>
  <c r="AJ38" i="13" s="1"/>
  <c r="AJ40" i="13" s="1"/>
  <c r="AJ38" i="1"/>
  <c r="AJ40" i="1" s="1"/>
  <c r="D37" i="16"/>
  <c r="AU85" i="1"/>
  <c r="AU87" i="1" s="1"/>
  <c r="AW74" i="1"/>
  <c r="AW80" i="1" s="1"/>
  <c r="AW83" i="1" s="1"/>
  <c r="F11" i="5"/>
  <c r="F16" i="5"/>
  <c r="I74" i="1"/>
  <c r="I80" i="1" s="1"/>
  <c r="F10" i="5"/>
  <c r="F33" i="5"/>
  <c r="F44" i="5"/>
  <c r="F24" i="5"/>
  <c r="F43" i="5"/>
  <c r="F46" i="5"/>
  <c r="F49" i="5"/>
  <c r="F55" i="5"/>
  <c r="F17" i="5"/>
  <c r="F41" i="5"/>
  <c r="F20" i="5"/>
  <c r="F47" i="5"/>
  <c r="F59" i="5"/>
  <c r="F12" i="5"/>
  <c r="F18" i="5"/>
  <c r="F34" i="5"/>
  <c r="F50" i="5"/>
  <c r="AP74" i="1"/>
  <c r="AP80" i="1" s="1"/>
  <c r="AP83" i="1" s="1"/>
  <c r="O83" i="1"/>
  <c r="E10" i="3"/>
  <c r="D9" i="4"/>
  <c r="D22" i="4"/>
  <c r="I67" i="1"/>
  <c r="M67" i="1"/>
  <c r="AV74" i="1"/>
  <c r="AV80" i="1" s="1"/>
  <c r="AD67" i="1"/>
  <c r="AR67" i="1"/>
  <c r="D54" i="4"/>
  <c r="D57" i="4"/>
  <c r="D60" i="4"/>
  <c r="AH67" i="1"/>
  <c r="AX67" i="1"/>
  <c r="E9" i="3"/>
  <c r="D40" i="4"/>
  <c r="D74" i="1"/>
  <c r="D80" i="1" s="1"/>
  <c r="G67" i="1"/>
  <c r="G74" i="1"/>
  <c r="G80" i="1" s="1"/>
  <c r="H67" i="1"/>
  <c r="N67" i="1"/>
  <c r="AF74" i="1"/>
  <c r="AF80" i="1" s="1"/>
  <c r="H74" i="1"/>
  <c r="H80" i="1" s="1"/>
  <c r="C67" i="1"/>
  <c r="D67" i="1"/>
  <c r="J67" i="1"/>
  <c r="AI74" i="1"/>
  <c r="E8" i="3"/>
  <c r="M29" i="1"/>
  <c r="M74" i="1" s="1"/>
  <c r="M80" i="1" s="1"/>
  <c r="N29" i="1"/>
  <c r="C74" i="1"/>
  <c r="AQ67" i="1"/>
  <c r="D19" i="4"/>
  <c r="F19" i="5" s="1"/>
  <c r="D21" i="4"/>
  <c r="D23" i="4"/>
  <c r="D25" i="4"/>
  <c r="AD74" i="1"/>
  <c r="AH74" i="1"/>
  <c r="AQ74" i="1"/>
  <c r="AQ80" i="1" s="1"/>
  <c r="AR74" i="1"/>
  <c r="AR80" i="1" s="1"/>
  <c r="AS74" i="1"/>
  <c r="AS80" i="1" s="1"/>
  <c r="AW67" i="1"/>
  <c r="AX74" i="1"/>
  <c r="AX80" i="1" s="1"/>
  <c r="J74" i="1"/>
  <c r="B29" i="1" l="1"/>
  <c r="E11" i="3"/>
  <c r="O85" i="1"/>
  <c r="O87" i="1" s="1"/>
  <c r="O33" i="1" s="1"/>
  <c r="AP85" i="1"/>
  <c r="AP87" i="1" s="1"/>
  <c r="AP33" i="1" s="1"/>
  <c r="AP33" i="13" s="1"/>
  <c r="AP38" i="13" s="1"/>
  <c r="AP40" i="13" s="1"/>
  <c r="AW85" i="1"/>
  <c r="AW87" i="1" s="1"/>
  <c r="AW33" i="1" s="1"/>
  <c r="J80" i="1"/>
  <c r="J83" i="1" s="1"/>
  <c r="C80" i="1"/>
  <c r="C83" i="1" s="1"/>
  <c r="F40" i="5"/>
  <c r="F60" i="5"/>
  <c r="F54" i="5"/>
  <c r="F22" i="5"/>
  <c r="F21" i="5"/>
  <c r="F57" i="5"/>
  <c r="F9" i="5"/>
  <c r="F23" i="5"/>
  <c r="F25" i="5"/>
  <c r="C21" i="7"/>
  <c r="C11" i="7"/>
  <c r="D13" i="4"/>
  <c r="D26" i="4"/>
  <c r="AR83" i="1"/>
  <c r="AX83" i="1"/>
  <c r="AS83" i="1"/>
  <c r="AQ83" i="1"/>
  <c r="M83" i="1"/>
  <c r="H83" i="1"/>
  <c r="AF83" i="1"/>
  <c r="G83" i="1"/>
  <c r="D83" i="1"/>
  <c r="AV83" i="1"/>
  <c r="I83" i="1"/>
  <c r="I85" i="1" s="1"/>
  <c r="D27" i="4"/>
  <c r="AH80" i="1"/>
  <c r="D28" i="4"/>
  <c r="D29" i="4"/>
  <c r="N74" i="1"/>
  <c r="N80" i="1" s="1"/>
  <c r="D45" i="4"/>
  <c r="AI80" i="1"/>
  <c r="AS65" i="1"/>
  <c r="AS67" i="1" s="1"/>
  <c r="D58" i="4"/>
  <c r="B74" i="1" l="1"/>
  <c r="O33" i="13"/>
  <c r="O38" i="13" s="1"/>
  <c r="O40" i="13" s="1"/>
  <c r="O38" i="1"/>
  <c r="O40" i="1" s="1"/>
  <c r="AW33" i="13"/>
  <c r="AW38" i="13" s="1"/>
  <c r="AW40" i="13" s="1"/>
  <c r="AW38" i="1"/>
  <c r="AW40" i="1" s="1"/>
  <c r="M85" i="1"/>
  <c r="M87" i="1" s="1"/>
  <c r="M33" i="1" s="1"/>
  <c r="M33" i="13" s="1"/>
  <c r="M38" i="13" s="1"/>
  <c r="M40" i="13" s="1"/>
  <c r="AR85" i="1"/>
  <c r="AR87" i="1" s="1"/>
  <c r="AR33" i="1" s="1"/>
  <c r="AQ85" i="1"/>
  <c r="AQ87" i="1" s="1"/>
  <c r="AQ33" i="1" s="1"/>
  <c r="AQ33" i="13" s="1"/>
  <c r="AQ38" i="13" s="1"/>
  <c r="AQ40" i="13" s="1"/>
  <c r="AS85" i="1"/>
  <c r="AS87" i="1" s="1"/>
  <c r="AS33" i="1" s="1"/>
  <c r="AF85" i="1"/>
  <c r="AF87" i="1" s="1"/>
  <c r="AF33" i="1" s="1"/>
  <c r="AF33" i="13" s="1"/>
  <c r="AF38" i="13" s="1"/>
  <c r="AF40" i="13" s="1"/>
  <c r="AV85" i="1"/>
  <c r="AV87" i="1" s="1"/>
  <c r="AV33" i="1" s="1"/>
  <c r="AX85" i="1"/>
  <c r="AX87" i="1" s="1"/>
  <c r="AX33" i="1" s="1"/>
  <c r="AX33" i="13" s="1"/>
  <c r="AX38" i="13" s="1"/>
  <c r="AX40" i="13" s="1"/>
  <c r="G85" i="1"/>
  <c r="G87" i="1" s="1"/>
  <c r="G33" i="1" s="1"/>
  <c r="J85" i="1"/>
  <c r="J87" i="1" s="1"/>
  <c r="J33" i="1" s="1"/>
  <c r="H85" i="1"/>
  <c r="H87" i="1" s="1"/>
  <c r="H33" i="1" s="1"/>
  <c r="D85" i="1"/>
  <c r="D87" i="1" s="1"/>
  <c r="D33" i="1" s="1"/>
  <c r="C85" i="1"/>
  <c r="C87" i="1" s="1"/>
  <c r="C33" i="1" s="1"/>
  <c r="E68" i="12"/>
  <c r="F73" i="15" s="1"/>
  <c r="AP38" i="1"/>
  <c r="AP40" i="1" s="1"/>
  <c r="F26" i="5"/>
  <c r="F13" i="5"/>
  <c r="F45" i="5"/>
  <c r="F29" i="5"/>
  <c r="F27" i="5"/>
  <c r="F58" i="5"/>
  <c r="F28" i="5"/>
  <c r="D71" i="4"/>
  <c r="AH83" i="1"/>
  <c r="AI83" i="1"/>
  <c r="N83" i="1"/>
  <c r="D42" i="4"/>
  <c r="AF65" i="1"/>
  <c r="AV54" i="1"/>
  <c r="AV67" i="1" s="1"/>
  <c r="D27" i="10" l="1"/>
  <c r="AF38" i="1"/>
  <c r="AF40" i="1" s="1"/>
  <c r="AQ38" i="1"/>
  <c r="AQ40" i="1" s="1"/>
  <c r="AV38" i="1"/>
  <c r="AV40" i="1" s="1"/>
  <c r="AV33" i="13"/>
  <c r="AV38" i="13" s="1"/>
  <c r="AV40" i="13" s="1"/>
  <c r="AS33" i="13"/>
  <c r="AS38" i="13" s="1"/>
  <c r="AS40" i="13" s="1"/>
  <c r="AS38" i="1"/>
  <c r="AS40" i="1" s="1"/>
  <c r="AR33" i="13"/>
  <c r="AR38" i="13" s="1"/>
  <c r="AR40" i="13" s="1"/>
  <c r="AR38" i="1"/>
  <c r="AR40" i="1" s="1"/>
  <c r="N85" i="1"/>
  <c r="N87" i="1" s="1"/>
  <c r="N33" i="1" s="1"/>
  <c r="AX38" i="1"/>
  <c r="AX40" i="1" s="1"/>
  <c r="AI85" i="1"/>
  <c r="AI87" i="1" s="1"/>
  <c r="AI33" i="1" s="1"/>
  <c r="AI33" i="13" s="1"/>
  <c r="AI38" i="13" s="1"/>
  <c r="AI40" i="13" s="1"/>
  <c r="AH85" i="1"/>
  <c r="AH87" i="1" s="1"/>
  <c r="AH33" i="1" s="1"/>
  <c r="M38" i="1"/>
  <c r="M40" i="1" s="1"/>
  <c r="G33" i="13"/>
  <c r="G38" i="13" s="1"/>
  <c r="G40" i="13" s="1"/>
  <c r="G38" i="1"/>
  <c r="G40" i="1" s="1"/>
  <c r="J33" i="13"/>
  <c r="J38" i="13" s="1"/>
  <c r="J40" i="13" s="1"/>
  <c r="J38" i="1"/>
  <c r="J40" i="1" s="1"/>
  <c r="H33" i="13"/>
  <c r="H38" i="13" s="1"/>
  <c r="H40" i="13" s="1"/>
  <c r="H38" i="1"/>
  <c r="H40" i="1" s="1"/>
  <c r="D33" i="13"/>
  <c r="D38" i="13" s="1"/>
  <c r="D40" i="13" s="1"/>
  <c r="D38" i="1"/>
  <c r="D40" i="1" s="1"/>
  <c r="D32" i="10"/>
  <c r="D34" i="10" s="1"/>
  <c r="C33" i="13"/>
  <c r="C38" i="13" s="1"/>
  <c r="C40" i="13" s="1"/>
  <c r="D68" i="12"/>
  <c r="E73" i="15" s="1"/>
  <c r="E79" i="12"/>
  <c r="D44" i="16"/>
  <c r="F70" i="5"/>
  <c r="I87" i="1"/>
  <c r="F42" i="5"/>
  <c r="AF67" i="1"/>
  <c r="AH33" i="13" l="1"/>
  <c r="AH38" i="13" s="1"/>
  <c r="AH40" i="13" s="1"/>
  <c r="AH38" i="1"/>
  <c r="AH40" i="1" s="1"/>
  <c r="D11" i="16" a="1"/>
  <c r="D13" i="16" s="1"/>
  <c r="N33" i="13"/>
  <c r="N38" i="13" s="1"/>
  <c r="N40" i="13" s="1"/>
  <c r="N38" i="1"/>
  <c r="N40" i="1" s="1"/>
  <c r="AI38" i="1"/>
  <c r="AI40" i="1" s="1"/>
  <c r="C79" i="12"/>
  <c r="G80" i="10"/>
  <c r="G32" i="10" s="1"/>
  <c r="G34" i="10" s="1"/>
  <c r="G80" i="12"/>
  <c r="H83" i="15" s="1"/>
  <c r="G80" i="11"/>
  <c r="G32" i="11" s="1"/>
  <c r="G34" i="11" s="1"/>
  <c r="C48" i="10"/>
  <c r="I33" i="1"/>
  <c r="E27" i="10" s="1"/>
  <c r="E32" i="10" s="1"/>
  <c r="E34" i="10" s="1"/>
  <c r="C38" i="1"/>
  <c r="D14" i="16" l="1"/>
  <c r="D12" i="16"/>
  <c r="D11" i="16"/>
  <c r="I33" i="13"/>
  <c r="I38" i="13" s="1"/>
  <c r="I40" i="13" s="1"/>
  <c r="D17" i="16" s="1" a="1"/>
  <c r="G27" i="12"/>
  <c r="H32" i="15" s="1"/>
  <c r="H51" i="4"/>
  <c r="I38" i="1"/>
  <c r="N48" i="5"/>
  <c r="C40" i="1"/>
  <c r="D21" i="16" l="1"/>
  <c r="D17" i="16"/>
  <c r="D27" i="16"/>
  <c r="D18" i="16"/>
  <c r="D28" i="16"/>
  <c r="D23" i="16"/>
  <c r="D29" i="16"/>
  <c r="D24" i="16"/>
  <c r="D20" i="16"/>
  <c r="D19" i="16"/>
  <c r="D25" i="16"/>
  <c r="D22" i="16"/>
  <c r="D26" i="16"/>
  <c r="D15" i="16"/>
  <c r="H37" i="15"/>
  <c r="H39" i="15" s="1"/>
  <c r="G32" i="12"/>
  <c r="G34" i="12" s="1"/>
  <c r="C48" i="11"/>
  <c r="C61" i="11" s="1"/>
  <c r="I40" i="1"/>
  <c r="H64" i="4"/>
  <c r="N64" i="5" s="1"/>
  <c r="N51" i="5"/>
  <c r="D30" i="16" l="1"/>
  <c r="C48" i="12"/>
  <c r="D48" i="4" l="1"/>
  <c r="AP54" i="1"/>
  <c r="B54" i="1" s="1"/>
  <c r="AP67" i="1" l="1"/>
  <c r="F48" i="5"/>
  <c r="D51" i="4"/>
  <c r="F51" i="5" l="1"/>
  <c r="H71" i="12" l="1"/>
  <c r="I76" i="15" l="1"/>
  <c r="M76" i="15" s="1"/>
  <c r="C71" i="12"/>
  <c r="C53" i="10" l="1"/>
  <c r="AI59" i="13"/>
  <c r="B59" i="13" s="1"/>
  <c r="D56" i="4"/>
  <c r="AI65" i="1"/>
  <c r="B65" i="1" s="1"/>
  <c r="D62" i="4" l="1"/>
  <c r="F56" i="5"/>
  <c r="H53" i="12"/>
  <c r="C53" i="12" s="1"/>
  <c r="C59" i="10"/>
  <c r="C61" i="10" s="1"/>
  <c r="H59" i="10"/>
  <c r="H61" i="10" s="1"/>
  <c r="AI67" i="1"/>
  <c r="B67" i="1" s="1"/>
  <c r="AI65" i="13"/>
  <c r="B65" i="13" s="1"/>
  <c r="AI67" i="13" l="1"/>
  <c r="I58" i="15"/>
  <c r="H59" i="12"/>
  <c r="H61" i="12" s="1"/>
  <c r="C59" i="12"/>
  <c r="C61" i="12" s="1"/>
  <c r="F62" i="5"/>
  <c r="D64" i="4"/>
  <c r="F64" i="5" s="1"/>
  <c r="B67" i="13" l="1"/>
  <c r="E46" i="16" a="1"/>
  <c r="I64" i="15"/>
  <c r="I66" i="15" s="1"/>
  <c r="M58" i="15"/>
  <c r="E51" i="16" l="1"/>
  <c r="E53" i="16"/>
  <c r="E50" i="16"/>
  <c r="E47" i="16"/>
  <c r="E52" i="16"/>
  <c r="E49" i="16"/>
  <c r="E54" i="16"/>
  <c r="E46" i="16"/>
  <c r="E57" i="16"/>
  <c r="E48" i="16"/>
  <c r="E55" i="16"/>
  <c r="E56" i="16"/>
  <c r="M64" i="15"/>
  <c r="M66" i="15" s="1"/>
  <c r="E58" i="16" l="1"/>
  <c r="E82" i="16" s="1"/>
  <c r="H18" i="4"/>
  <c r="H16" i="4"/>
  <c r="N16" i="5" l="1"/>
  <c r="H26" i="4"/>
  <c r="N18" i="5"/>
  <c r="C13" i="11"/>
  <c r="E13" i="12"/>
  <c r="E23" i="11"/>
  <c r="E67" i="11" s="1"/>
  <c r="C15" i="11"/>
  <c r="E15" i="12"/>
  <c r="E73" i="11" l="1"/>
  <c r="C67" i="11"/>
  <c r="F18" i="15"/>
  <c r="C13" i="12"/>
  <c r="E23" i="12"/>
  <c r="F20" i="15"/>
  <c r="M20" i="15" s="1"/>
  <c r="C15" i="12"/>
  <c r="C23" i="11"/>
  <c r="N26" i="5"/>
  <c r="H71" i="4"/>
  <c r="N70" i="5" s="1"/>
  <c r="C23" i="12" l="1"/>
  <c r="F28" i="15"/>
  <c r="M18" i="15"/>
  <c r="E76" i="11"/>
  <c r="E78" i="11" s="1"/>
  <c r="E67" i="12"/>
  <c r="F72" i="15" l="1"/>
  <c r="M72" i="15" s="1"/>
  <c r="E73" i="12"/>
  <c r="C67" i="12"/>
  <c r="M28" i="15"/>
  <c r="E80" i="11" l="1"/>
  <c r="F78" i="15"/>
  <c r="E76" i="12"/>
  <c r="E78" i="12" s="1"/>
  <c r="F81" i="15" l="1"/>
  <c r="E32" i="11"/>
  <c r="E34" i="11" s="1"/>
  <c r="E80" i="12" l="1"/>
  <c r="F83" i="15" l="1"/>
  <c r="E27" i="12"/>
  <c r="F32" i="15" l="1"/>
  <c r="E32" i="12"/>
  <c r="E34" i="12" s="1"/>
  <c r="F37" i="15" l="1"/>
  <c r="F39" i="15" s="1"/>
  <c r="D26" i="3" l="1"/>
  <c r="D30" i="3" s="1"/>
  <c r="D32" i="3" s="1"/>
  <c r="D34" i="3" l="1"/>
  <c r="F73" i="16" l="1"/>
  <c r="BC71" i="13"/>
  <c r="BC90" i="13" s="1"/>
  <c r="BC71" i="1"/>
  <c r="BC71" i="17"/>
  <c r="F17" i="16"/>
  <c r="F19" i="16"/>
  <c r="F79" i="16"/>
  <c r="BD71" i="1"/>
  <c r="BE71" i="1"/>
  <c r="BD71" i="17"/>
  <c r="AN71" i="17"/>
  <c r="AN71" i="1"/>
  <c r="AC71" i="1"/>
  <c r="X71" i="13"/>
  <c r="X90" i="13" s="1"/>
  <c r="W71" i="13"/>
  <c r="W90" i="13" s="1"/>
  <c r="F18" i="16"/>
  <c r="AO71" i="17"/>
  <c r="W71" i="1"/>
  <c r="F78" i="16"/>
  <c r="F35" i="16"/>
  <c r="F34" i="16"/>
  <c r="BG71" i="17"/>
  <c r="BF71" i="1"/>
  <c r="BE71" i="13"/>
  <c r="BE90" i="13" s="1"/>
  <c r="AM71" i="17"/>
  <c r="AO71" i="13"/>
  <c r="AO90" i="13" s="1"/>
  <c r="AC71" i="13"/>
  <c r="W71" i="17"/>
  <c r="F33" i="16"/>
  <c r="BF71" i="17"/>
  <c r="AM71" i="13"/>
  <c r="AM90" i="13" s="1"/>
  <c r="F77" i="16"/>
  <c r="F40" i="16"/>
  <c r="BE71" i="17"/>
  <c r="BG71" i="1"/>
  <c r="BG71" i="13"/>
  <c r="BG90" i="13" s="1"/>
  <c r="J64" i="12"/>
  <c r="K69" i="15" s="1"/>
  <c r="AO71" i="1"/>
  <c r="AN71" i="13"/>
  <c r="AN90" i="13" s="1"/>
  <c r="AC71" i="17"/>
  <c r="X71" i="1"/>
  <c r="BF71" i="13"/>
  <c r="BF90" i="13" s="1"/>
  <c r="BD71" i="13"/>
  <c r="BD90" i="13" s="1"/>
  <c r="AM71" i="1"/>
  <c r="X71" i="17"/>
  <c r="V71" i="13"/>
  <c r="V90" i="13" s="1"/>
  <c r="U71" i="1"/>
  <c r="T71" i="17"/>
  <c r="T71" i="13"/>
  <c r="T90" i="13" s="1"/>
  <c r="U71" i="17"/>
  <c r="T71" i="1"/>
  <c r="U71" i="13"/>
  <c r="U90" i="13" s="1"/>
  <c r="F26" i="16"/>
  <c r="F24" i="16"/>
  <c r="F43" i="16"/>
  <c r="F28" i="16"/>
  <c r="AB71" i="13"/>
  <c r="AB90" i="13" s="1"/>
  <c r="AK71" i="1"/>
  <c r="AK71" i="17"/>
  <c r="AT71" i="1"/>
  <c r="Y71" i="13"/>
  <c r="Y90" i="13" s="1"/>
  <c r="BA71" i="13"/>
  <c r="BA90" i="13" s="1"/>
  <c r="E71" i="13"/>
  <c r="E90" i="13" s="1"/>
  <c r="F12" i="16"/>
  <c r="J64" i="11"/>
  <c r="AX71" i="1"/>
  <c r="AS71" i="1"/>
  <c r="P71" i="13"/>
  <c r="P90" i="13" s="1"/>
  <c r="F70" i="16"/>
  <c r="AT71" i="13"/>
  <c r="AT90" i="13" s="1"/>
  <c r="H71" i="13"/>
  <c r="H90" i="13" s="1"/>
  <c r="F64" i="16"/>
  <c r="R71" i="17"/>
  <c r="J64" i="10"/>
  <c r="AW71" i="13"/>
  <c r="AW90" i="13" s="1"/>
  <c r="AA71" i="1"/>
  <c r="AR71" i="17"/>
  <c r="AS71" i="17"/>
  <c r="AA71" i="17"/>
  <c r="AW71" i="17"/>
  <c r="Z71" i="17"/>
  <c r="AA71" i="13"/>
  <c r="AA90" i="13" s="1"/>
  <c r="I71" i="1"/>
  <c r="M71" i="13"/>
  <c r="M90" i="13" s="1"/>
  <c r="AS71" i="13"/>
  <c r="AS90" i="13" s="1"/>
  <c r="AB71" i="17"/>
  <c r="C71" i="13"/>
  <c r="C90" i="13" s="1"/>
  <c r="I64" i="11"/>
  <c r="AG71" i="1"/>
  <c r="AR71" i="1"/>
  <c r="BA71" i="17"/>
  <c r="F71" i="1"/>
  <c r="Q71" i="1"/>
  <c r="Z71" i="1"/>
  <c r="AV71" i="13"/>
  <c r="AV90" i="13" s="1"/>
  <c r="Y71" i="1"/>
  <c r="F25" i="16"/>
  <c r="F42" i="16"/>
  <c r="F29" i="16"/>
  <c r="F23" i="16"/>
  <c r="F67" i="16"/>
  <c r="Q71" i="17"/>
  <c r="AU71" i="1"/>
  <c r="Y71" i="17"/>
  <c r="I64" i="10"/>
  <c r="L71" i="17"/>
  <c r="AE71" i="13"/>
  <c r="AE90" i="13" s="1"/>
  <c r="I71" i="17"/>
  <c r="AF71" i="13"/>
  <c r="AF90" i="13" s="1"/>
  <c r="Z71" i="13"/>
  <c r="Z90" i="13" s="1"/>
  <c r="AI71" i="13"/>
  <c r="AI90" i="13" s="1"/>
  <c r="J71" i="17"/>
  <c r="I64" i="12"/>
  <c r="J69" i="15" s="1"/>
  <c r="O71" i="17"/>
  <c r="AE71" i="17"/>
  <c r="D71" i="13"/>
  <c r="D90" i="13" s="1"/>
  <c r="F36" i="16"/>
  <c r="F13" i="16"/>
  <c r="G64" i="11"/>
  <c r="AY71" i="1"/>
  <c r="F69" i="16"/>
  <c r="D64" i="12"/>
  <c r="E69" i="15" s="1"/>
  <c r="F71" i="16"/>
  <c r="R71" i="1"/>
  <c r="AH71" i="17"/>
  <c r="AQ71" i="17"/>
  <c r="AQ71" i="1"/>
  <c r="AQ71" i="13"/>
  <c r="AQ90" i="13" s="1"/>
  <c r="D64" i="10"/>
  <c r="K71" i="13"/>
  <c r="K90" i="13" s="1"/>
  <c r="AH71" i="1"/>
  <c r="AY71" i="13"/>
  <c r="AY90" i="13" s="1"/>
  <c r="N71" i="17"/>
  <c r="G64" i="12"/>
  <c r="H69" i="15" s="1"/>
  <c r="G71" i="1"/>
  <c r="L71" i="13"/>
  <c r="L90" i="13" s="1"/>
  <c r="AR71" i="13"/>
  <c r="AR90" i="13" s="1"/>
  <c r="F64" i="10"/>
  <c r="AL71" i="13"/>
  <c r="AL90" i="13" s="1"/>
  <c r="D71" i="17"/>
  <c r="F27" i="16"/>
  <c r="F41" i="16"/>
  <c r="F22" i="16"/>
  <c r="F21" i="16"/>
  <c r="I71" i="13"/>
  <c r="I90" i="13" s="1"/>
  <c r="AJ71" i="1"/>
  <c r="L71" i="1"/>
  <c r="P71" i="17"/>
  <c r="O71" i="13"/>
  <c r="O90" i="13" s="1"/>
  <c r="AP71" i="13"/>
  <c r="AP90" i="13" s="1"/>
  <c r="AJ71" i="17"/>
  <c r="K71" i="17"/>
  <c r="F14" i="16"/>
  <c r="G71" i="13"/>
  <c r="G90" i="13" s="1"/>
  <c r="F64" i="12"/>
  <c r="G69" i="15" s="1"/>
  <c r="S71" i="1"/>
  <c r="E64" i="11"/>
  <c r="AB71" i="1"/>
  <c r="F71" i="13"/>
  <c r="F90" i="13" s="1"/>
  <c r="F65" i="16"/>
  <c r="F11" i="16"/>
  <c r="N71" i="13"/>
  <c r="N90" i="13" s="1"/>
  <c r="AJ71" i="13"/>
  <c r="AJ90" i="13" s="1"/>
  <c r="AX71" i="13"/>
  <c r="AX90" i="13" s="1"/>
  <c r="AT71" i="17"/>
  <c r="F32" i="16"/>
  <c r="D64" i="11"/>
  <c r="V71" i="1"/>
  <c r="J71" i="1"/>
  <c r="F62" i="16"/>
  <c r="AF71" i="17"/>
  <c r="F71" i="17"/>
  <c r="AZ71" i="1"/>
  <c r="V71" i="17"/>
  <c r="AK71" i="13"/>
  <c r="AK90" i="13" s="1"/>
  <c r="AZ71" i="13"/>
  <c r="AZ90" i="13" s="1"/>
  <c r="M71" i="17"/>
  <c r="AV71" i="17"/>
  <c r="H71" i="1"/>
  <c r="BB71" i="13"/>
  <c r="BB90" i="13" s="1"/>
  <c r="J71" i="13"/>
  <c r="J90" i="13" s="1"/>
  <c r="F64" i="11"/>
  <c r="E64" i="12"/>
  <c r="F69" i="15" s="1"/>
  <c r="AG71" i="17"/>
  <c r="AY71" i="17"/>
  <c r="F60" i="16"/>
  <c r="F76" i="16"/>
  <c r="F39" i="16"/>
  <c r="F20" i="16"/>
  <c r="AV71" i="1"/>
  <c r="E71" i="1"/>
  <c r="K71" i="1"/>
  <c r="S71" i="13"/>
  <c r="S90" i="13" s="1"/>
  <c r="R71" i="13"/>
  <c r="R90" i="13" s="1"/>
  <c r="AE71" i="1"/>
  <c r="AG71" i="13"/>
  <c r="AG90" i="13" s="1"/>
  <c r="Q71" i="13"/>
  <c r="Q90" i="13" s="1"/>
  <c r="O71" i="1"/>
  <c r="M71" i="1"/>
  <c r="H71" i="17"/>
  <c r="AH71" i="13"/>
  <c r="AH90" i="13" s="1"/>
  <c r="AP71" i="17"/>
  <c r="AX71" i="17"/>
  <c r="C71" i="1"/>
  <c r="P71" i="1"/>
  <c r="N71" i="1"/>
  <c r="F66" i="16"/>
  <c r="F72" i="16"/>
  <c r="AW71" i="1"/>
  <c r="S71" i="17"/>
  <c r="F68" i="16"/>
  <c r="AL71" i="1"/>
  <c r="E71" i="17"/>
  <c r="F61" i="16"/>
  <c r="AF71" i="1"/>
  <c r="AI71" i="1"/>
  <c r="AU71" i="13"/>
  <c r="AU90" i="13" s="1"/>
  <c r="G71" i="17"/>
  <c r="F63" i="16"/>
  <c r="E64" i="10"/>
  <c r="BB71" i="17"/>
  <c r="AL71" i="17"/>
  <c r="C71" i="17"/>
  <c r="D71" i="1"/>
  <c r="AZ71" i="17"/>
  <c r="AU71" i="17"/>
  <c r="BB71" i="1"/>
  <c r="AP71" i="1"/>
  <c r="G64" i="10"/>
  <c r="AI71" i="17"/>
  <c r="BA71" i="1"/>
  <c r="F74" i="16" l="1"/>
  <c r="H74" i="16" s="1"/>
  <c r="F80" i="16"/>
  <c r="H80" i="16" s="1"/>
  <c r="F37" i="16"/>
  <c r="H37" i="16" s="1"/>
  <c r="F30" i="16"/>
  <c r="H30" i="16" s="1"/>
  <c r="F44" i="16"/>
  <c r="H44" i="16" s="1"/>
  <c r="F15" i="16"/>
  <c r="H16" i="16" s="1"/>
  <c r="H9" i="5" l="1"/>
  <c r="P9" i="5"/>
  <c r="H10" i="5"/>
  <c r="P10" i="5"/>
  <c r="H11" i="5"/>
  <c r="P11" i="5"/>
  <c r="H12" i="5"/>
  <c r="P12" i="5"/>
  <c r="H16" i="5"/>
  <c r="P16" i="5"/>
  <c r="H17" i="5"/>
  <c r="P17" i="5"/>
  <c r="H18" i="5"/>
  <c r="P18" i="5"/>
  <c r="H19" i="5"/>
  <c r="P19" i="5"/>
  <c r="H20" i="5"/>
  <c r="P20" i="5"/>
  <c r="H21" i="5"/>
  <c r="P21" i="5"/>
  <c r="H22" i="5"/>
  <c r="P22" i="5"/>
  <c r="H23" i="5"/>
  <c r="P23" i="5"/>
  <c r="H24" i="5"/>
  <c r="P24" i="5"/>
  <c r="H25" i="5"/>
  <c r="P25" i="5"/>
  <c r="H27" i="5"/>
  <c r="P27" i="5"/>
  <c r="H28" i="5"/>
  <c r="P28" i="5"/>
  <c r="H29" i="5"/>
  <c r="P29" i="5"/>
  <c r="H32" i="5"/>
  <c r="P32" i="5"/>
  <c r="H33" i="5"/>
  <c r="P33" i="5"/>
  <c r="H34" i="5"/>
  <c r="P34" i="5"/>
  <c r="H40" i="5"/>
  <c r="P40" i="5"/>
  <c r="H41" i="5"/>
  <c r="P41" i="5"/>
  <c r="H42" i="5"/>
  <c r="P42" i="5"/>
  <c r="H43" i="5"/>
  <c r="P43" i="5"/>
  <c r="H44" i="5"/>
  <c r="P44" i="5"/>
  <c r="H45" i="5"/>
  <c r="P45" i="5"/>
  <c r="H46" i="5"/>
  <c r="P46" i="5"/>
  <c r="H47" i="5"/>
  <c r="P47" i="5"/>
  <c r="H48" i="5"/>
  <c r="P48" i="5"/>
  <c r="H49" i="5"/>
  <c r="P49" i="5"/>
  <c r="H50" i="5"/>
  <c r="P50" i="5"/>
  <c r="H51" i="5"/>
  <c r="H54" i="5"/>
  <c r="P54" i="5"/>
  <c r="H55" i="5"/>
  <c r="P55" i="5"/>
  <c r="H56" i="5"/>
  <c r="P56" i="5"/>
  <c r="H57" i="5"/>
  <c r="P57" i="5"/>
  <c r="H58" i="5"/>
  <c r="P58" i="5"/>
  <c r="H59" i="5"/>
  <c r="P59" i="5"/>
  <c r="H60" i="5"/>
  <c r="P60" i="5"/>
  <c r="H70" i="5"/>
  <c r="P70" i="5"/>
  <c r="H72" i="5"/>
  <c r="P72" i="5"/>
  <c r="H74" i="5"/>
  <c r="P74" i="5"/>
  <c r="H75" i="5"/>
  <c r="P75" i="5"/>
  <c r="H78" i="5"/>
  <c r="P78" i="5"/>
  <c r="P31" i="5" l="1"/>
  <c r="P62" i="5"/>
  <c r="H62" i="5"/>
  <c r="H64" i="5"/>
  <c r="D78" i="5"/>
  <c r="P13" i="5" l="1"/>
  <c r="P26" i="5"/>
  <c r="P51" i="5"/>
  <c r="P64" i="5"/>
  <c r="G81" i="5"/>
  <c r="G82" i="5" s="1"/>
  <c r="H31" i="5"/>
  <c r="H26" i="5"/>
  <c r="H13" i="5"/>
  <c r="C14" i="7"/>
  <c r="C75" i="15"/>
  <c r="C6" i="7"/>
  <c r="B73" i="5"/>
  <c r="D73" i="5" s="1"/>
  <c r="B23" i="5"/>
  <c r="D23" i="5" s="1"/>
  <c r="F23" i="4"/>
  <c r="C25" i="15"/>
  <c r="O25" i="15" s="1"/>
  <c r="C23" i="15"/>
  <c r="O23" i="15" s="1"/>
  <c r="F21" i="4"/>
  <c r="B21" i="5"/>
  <c r="D21" i="5" s="1"/>
  <c r="B10" i="5"/>
  <c r="D10" i="5" s="1"/>
  <c r="C12" i="15"/>
  <c r="O12" i="15" s="1"/>
  <c r="F10" i="4"/>
  <c r="F47" i="4"/>
  <c r="C49" i="15"/>
  <c r="O49" i="15" s="1"/>
  <c r="B47" i="5"/>
  <c r="D47" i="5" s="1"/>
  <c r="C20" i="15"/>
  <c r="O20" i="15" s="1"/>
  <c r="Q20" i="15" s="1"/>
  <c r="B18" i="5"/>
  <c r="D18" i="5" s="1"/>
  <c r="F18" i="4"/>
  <c r="B41" i="5"/>
  <c r="D41" i="5" s="1"/>
  <c r="F41" i="4"/>
  <c r="C43" i="15"/>
  <c r="O43" i="15" s="1"/>
  <c r="Q43" i="15" s="1"/>
  <c r="F49" i="4"/>
  <c r="C51" i="15"/>
  <c r="O51" i="15" s="1"/>
  <c r="B49" i="5"/>
  <c r="D49" i="5" s="1"/>
  <c r="F59" i="4"/>
  <c r="C61" i="15"/>
  <c r="O61" i="15" s="1"/>
  <c r="Q61" i="15" s="1"/>
  <c r="B59" i="5"/>
  <c r="D59" i="5" s="1"/>
  <c r="C33" i="15"/>
  <c r="O33" i="15" s="1"/>
  <c r="B31" i="5"/>
  <c r="D31" i="5" s="1"/>
  <c r="B54" i="5"/>
  <c r="D54" i="5" s="1"/>
  <c r="C56" i="15"/>
  <c r="F54" i="4"/>
  <c r="B62" i="4"/>
  <c r="B62" i="5" s="1"/>
  <c r="D62" i="5" s="1"/>
  <c r="F43" i="4"/>
  <c r="B43" i="5"/>
  <c r="D43" i="5" s="1"/>
  <c r="C45" i="15"/>
  <c r="O45" i="15" s="1"/>
  <c r="B48" i="5"/>
  <c r="D48" i="5" s="1"/>
  <c r="F48" i="4"/>
  <c r="C50" i="15"/>
  <c r="O50" i="15" s="1"/>
  <c r="B24" i="5"/>
  <c r="D24" i="5" s="1"/>
  <c r="C26" i="15"/>
  <c r="O26" i="15" s="1"/>
  <c r="F24" i="4"/>
  <c r="C32" i="15"/>
  <c r="B30" i="5"/>
  <c r="D30" i="5" s="1"/>
  <c r="C11" i="15"/>
  <c r="B13" i="4"/>
  <c r="B9" i="5"/>
  <c r="D9" i="5" s="1"/>
  <c r="F9" i="4"/>
  <c r="F16" i="4"/>
  <c r="B26" i="4"/>
  <c r="B16" i="5"/>
  <c r="D16" i="5" s="1"/>
  <c r="C18" i="15"/>
  <c r="B57" i="5"/>
  <c r="D57" i="5" s="1"/>
  <c r="C59" i="15"/>
  <c r="O59" i="15" s="1"/>
  <c r="F57" i="4"/>
  <c r="C74" i="15"/>
  <c r="O74" i="15" s="1"/>
  <c r="B72" i="5"/>
  <c r="F73" i="4"/>
  <c r="C22" i="15"/>
  <c r="O22" i="15" s="1"/>
  <c r="F20" i="4"/>
  <c r="B20" i="5"/>
  <c r="D20" i="5" s="1"/>
  <c r="C58" i="15"/>
  <c r="O58" i="15" s="1"/>
  <c r="Q58" i="15" s="1"/>
  <c r="F56" i="4"/>
  <c r="B56" i="5"/>
  <c r="D56" i="5" s="1"/>
  <c r="C36" i="15"/>
  <c r="O36" i="15" s="1"/>
  <c r="Q36" i="15" s="1"/>
  <c r="F34" i="4"/>
  <c r="B34" i="5"/>
  <c r="D34" i="5" s="1"/>
  <c r="C47" i="15"/>
  <c r="O47" i="15" s="1"/>
  <c r="Q47" i="15" s="1"/>
  <c r="B45" i="5"/>
  <c r="D45" i="5" s="1"/>
  <c r="F45" i="4"/>
  <c r="C76" i="15"/>
  <c r="O76" i="15" s="1"/>
  <c r="Q76" i="15" s="1"/>
  <c r="F75" i="4"/>
  <c r="B74" i="5"/>
  <c r="D74" i="5" s="1"/>
  <c r="F50" i="4"/>
  <c r="B50" i="5"/>
  <c r="D50" i="5" s="1"/>
  <c r="C52" i="15"/>
  <c r="O52" i="15" s="1"/>
  <c r="F17" i="4"/>
  <c r="B17" i="5"/>
  <c r="D17" i="5" s="1"/>
  <c r="C19" i="15"/>
  <c r="O19" i="15" s="1"/>
  <c r="Q19" i="15" s="1"/>
  <c r="C60" i="15"/>
  <c r="O60" i="15" s="1"/>
  <c r="Q60" i="15" s="1"/>
  <c r="B58" i="5"/>
  <c r="D58" i="5" s="1"/>
  <c r="F58" i="4"/>
  <c r="F44" i="4"/>
  <c r="B44" i="5"/>
  <c r="D44" i="5" s="1"/>
  <c r="C46" i="15"/>
  <c r="O46" i="15" s="1"/>
  <c r="Q46" i="15" s="1"/>
  <c r="F60" i="4"/>
  <c r="C62" i="15"/>
  <c r="O62" i="15" s="1"/>
  <c r="B60" i="5"/>
  <c r="D60" i="5" s="1"/>
  <c r="B83" i="5"/>
  <c r="D83" i="5" s="1"/>
  <c r="C83" i="15"/>
  <c r="F42" i="4"/>
  <c r="B42" i="5"/>
  <c r="D42" i="5" s="1"/>
  <c r="C44" i="15"/>
  <c r="O44" i="15" s="1"/>
  <c r="Q44" i="15" s="1"/>
  <c r="B12" i="5"/>
  <c r="D12" i="5" s="1"/>
  <c r="C14" i="15"/>
  <c r="O14" i="15" s="1"/>
  <c r="Q14" i="15" s="1"/>
  <c r="F12" i="4"/>
  <c r="C24" i="15"/>
  <c r="O24" i="15" s="1"/>
  <c r="Q24" i="15" s="1"/>
  <c r="B22" i="5"/>
  <c r="D22" i="5" s="1"/>
  <c r="F22" i="4"/>
  <c r="B55" i="5"/>
  <c r="D55" i="5" s="1"/>
  <c r="F55" i="4"/>
  <c r="C57" i="15"/>
  <c r="O57" i="15" s="1"/>
  <c r="Q57" i="15" s="1"/>
  <c r="F11" i="4"/>
  <c r="C13" i="15"/>
  <c r="O13" i="15" s="1"/>
  <c r="Q13" i="15" s="1"/>
  <c r="B11" i="5"/>
  <c r="D11" i="5" s="1"/>
  <c r="B33" i="5"/>
  <c r="D33" i="5" s="1"/>
  <c r="C35" i="15"/>
  <c r="O35" i="15" s="1"/>
  <c r="Q35" i="15" s="1"/>
  <c r="F33" i="4"/>
  <c r="D72" i="5"/>
  <c r="B51" i="4"/>
  <c r="B40" i="5"/>
  <c r="D40" i="5" s="1"/>
  <c r="F40" i="4"/>
  <c r="C42" i="15"/>
  <c r="C29" i="15"/>
  <c r="O29" i="15" s="1"/>
  <c r="F27" i="4"/>
  <c r="B27" i="5"/>
  <c r="D27" i="5" s="1"/>
  <c r="L78" i="5"/>
  <c r="F19" i="4"/>
  <c r="C21" i="15"/>
  <c r="O21" i="15" s="1"/>
  <c r="Q21" i="15" s="1"/>
  <c r="B19" i="5"/>
  <c r="D19" i="5" s="1"/>
  <c r="C30" i="15"/>
  <c r="O30" i="15" s="1"/>
  <c r="Q30" i="15" s="1"/>
  <c r="F28" i="4"/>
  <c r="B28" i="5"/>
  <c r="D28" i="5" s="1"/>
  <c r="C31" i="15"/>
  <c r="O31" i="15" s="1"/>
  <c r="F29" i="4"/>
  <c r="B29" i="5"/>
  <c r="D29" i="5" s="1"/>
  <c r="C34" i="15"/>
  <c r="O34" i="15" s="1"/>
  <c r="Q34" i="15" s="1"/>
  <c r="B32" i="5"/>
  <c r="D32" i="5" s="1"/>
  <c r="F32" i="4"/>
  <c r="B46" i="5"/>
  <c r="D46" i="5" s="1"/>
  <c r="F46" i="4"/>
  <c r="C48" i="15"/>
  <c r="O48" i="15" s="1"/>
  <c r="B75" i="5"/>
  <c r="D75" i="5" s="1"/>
  <c r="C77" i="15"/>
  <c r="O77" i="15" s="1"/>
  <c r="Q77" i="15" s="1"/>
  <c r="F76" i="4"/>
  <c r="F25" i="4"/>
  <c r="B25" i="5"/>
  <c r="D25" i="5" s="1"/>
  <c r="C27" i="15"/>
  <c r="O27" i="15" s="1"/>
  <c r="Q27" i="15" s="1"/>
  <c r="Q48" i="15" l="1"/>
  <c r="Q29" i="15"/>
  <c r="Q52" i="15"/>
  <c r="Q62" i="15"/>
  <c r="Q26" i="15"/>
  <c r="Q51" i="15"/>
  <c r="Q74" i="15"/>
  <c r="Q45" i="15"/>
  <c r="Q23" i="15"/>
  <c r="T78" i="5"/>
  <c r="Q80" i="15"/>
  <c r="Q22" i="15"/>
  <c r="Q50" i="15"/>
  <c r="Q49" i="15"/>
  <c r="Q59" i="15"/>
  <c r="Q25" i="15"/>
  <c r="O81" i="5"/>
  <c r="O82" i="5" s="1"/>
  <c r="P82" i="5" s="1"/>
  <c r="L31" i="5"/>
  <c r="J76" i="4"/>
  <c r="J75" i="5"/>
  <c r="L75" i="5" s="1"/>
  <c r="J28" i="5"/>
  <c r="L28" i="5" s="1"/>
  <c r="J28" i="4"/>
  <c r="C53" i="15"/>
  <c r="O42" i="15"/>
  <c r="J55" i="5"/>
  <c r="L55" i="5" s="1"/>
  <c r="J55" i="4"/>
  <c r="J42" i="5"/>
  <c r="L42" i="5" s="1"/>
  <c r="J42" i="4"/>
  <c r="J50" i="4"/>
  <c r="J50" i="5"/>
  <c r="L50" i="5" s="1"/>
  <c r="J74" i="5"/>
  <c r="L74" i="5" s="1"/>
  <c r="J75" i="4"/>
  <c r="J57" i="5"/>
  <c r="L57" i="5" s="1"/>
  <c r="J57" i="4"/>
  <c r="J24" i="4"/>
  <c r="J24" i="5"/>
  <c r="L24" i="5" s="1"/>
  <c r="J48" i="4"/>
  <c r="J48" i="5"/>
  <c r="L48" i="5" s="1"/>
  <c r="J43" i="4"/>
  <c r="J43" i="5"/>
  <c r="L43" i="5" s="1"/>
  <c r="J41" i="5"/>
  <c r="L41" i="5" s="1"/>
  <c r="J41" i="4"/>
  <c r="J46" i="5"/>
  <c r="L46" i="5" s="1"/>
  <c r="J46" i="4"/>
  <c r="J32" i="5"/>
  <c r="L32" i="5" s="1"/>
  <c r="J32" i="4"/>
  <c r="J29" i="5"/>
  <c r="L29" i="5" s="1"/>
  <c r="J29" i="4"/>
  <c r="J40" i="4"/>
  <c r="F51" i="4"/>
  <c r="J40" i="5"/>
  <c r="L40" i="5" s="1"/>
  <c r="J33" i="4"/>
  <c r="J33" i="5"/>
  <c r="L33" i="5" s="1"/>
  <c r="J12" i="5"/>
  <c r="L12" i="5" s="1"/>
  <c r="J12" i="4"/>
  <c r="J73" i="4"/>
  <c r="J72" i="5"/>
  <c r="L72" i="5" s="1"/>
  <c r="B26" i="5"/>
  <c r="D26" i="5" s="1"/>
  <c r="B35" i="4"/>
  <c r="B35" i="5" s="1"/>
  <c r="D35" i="5" s="1"/>
  <c r="B71" i="4"/>
  <c r="B13" i="5"/>
  <c r="D13" i="5" s="1"/>
  <c r="J10" i="4"/>
  <c r="J10" i="5"/>
  <c r="J21" i="5"/>
  <c r="L21" i="5" s="1"/>
  <c r="J21" i="4"/>
  <c r="J23" i="5"/>
  <c r="L23" i="5" s="1"/>
  <c r="J23" i="4"/>
  <c r="J19" i="4"/>
  <c r="J19" i="5"/>
  <c r="L19" i="5" s="1"/>
  <c r="J11" i="5"/>
  <c r="L11" i="5" s="1"/>
  <c r="J11" i="4"/>
  <c r="J22" i="4"/>
  <c r="J22" i="5"/>
  <c r="L22" i="5" s="1"/>
  <c r="J58" i="4"/>
  <c r="J58" i="5"/>
  <c r="L58" i="5" s="1"/>
  <c r="J45" i="4"/>
  <c r="J45" i="5"/>
  <c r="L45" i="5" s="1"/>
  <c r="J34" i="4"/>
  <c r="J34" i="5"/>
  <c r="L34" i="5" s="1"/>
  <c r="J56" i="5"/>
  <c r="L56" i="5" s="1"/>
  <c r="J56" i="4"/>
  <c r="J16" i="5"/>
  <c r="F26" i="4"/>
  <c r="J16" i="4"/>
  <c r="O11" i="15"/>
  <c r="C15" i="15"/>
  <c r="Q31" i="15"/>
  <c r="J54" i="5"/>
  <c r="L54" i="5" s="1"/>
  <c r="F62" i="4"/>
  <c r="J62" i="5" s="1"/>
  <c r="L62" i="5" s="1"/>
  <c r="J54" i="4"/>
  <c r="J49" i="4"/>
  <c r="J49" i="5"/>
  <c r="L49" i="5" s="1"/>
  <c r="J18" i="5"/>
  <c r="L18" i="5" s="1"/>
  <c r="J18" i="4"/>
  <c r="J47" i="4"/>
  <c r="J47" i="5"/>
  <c r="L47" i="5" s="1"/>
  <c r="J25" i="4"/>
  <c r="J25" i="5"/>
  <c r="L25" i="5" s="1"/>
  <c r="J27" i="5"/>
  <c r="L27" i="5" s="1"/>
  <c r="J27" i="4"/>
  <c r="B64" i="4"/>
  <c r="E8" i="16" s="1"/>
  <c r="B51" i="5"/>
  <c r="D51" i="5" s="1"/>
  <c r="J60" i="5"/>
  <c r="L60" i="5" s="1"/>
  <c r="J60" i="4"/>
  <c r="J44" i="4"/>
  <c r="J44" i="5"/>
  <c r="L44" i="5" s="1"/>
  <c r="J17" i="5"/>
  <c r="L17" i="5" s="1"/>
  <c r="J17" i="4"/>
  <c r="J20" i="4"/>
  <c r="J20" i="5"/>
  <c r="L20" i="5" s="1"/>
  <c r="O18" i="15"/>
  <c r="C28" i="15"/>
  <c r="C37" i="15" s="1"/>
  <c r="J9" i="4"/>
  <c r="F13" i="4"/>
  <c r="J9" i="5"/>
  <c r="L9" i="5" s="1"/>
  <c r="C64" i="15"/>
  <c r="O56" i="15"/>
  <c r="J59" i="5"/>
  <c r="L59" i="5" s="1"/>
  <c r="J59" i="4"/>
  <c r="O53" i="15" l="1"/>
  <c r="Q42" i="15"/>
  <c r="O15" i="15"/>
  <c r="Q11" i="15"/>
  <c r="O28" i="15"/>
  <c r="O64" i="15"/>
  <c r="Q64" i="15" s="1"/>
  <c r="Q56" i="15"/>
  <c r="B37" i="4"/>
  <c r="L16" i="5"/>
  <c r="B64" i="5"/>
  <c r="D64" i="5" s="1"/>
  <c r="E84" i="16"/>
  <c r="R25" i="5"/>
  <c r="T25" i="5" s="1"/>
  <c r="N25" i="4"/>
  <c r="N56" i="4"/>
  <c r="R56" i="5"/>
  <c r="T56" i="5" s="1"/>
  <c r="N58" i="4"/>
  <c r="R58" i="5"/>
  <c r="T58" i="5" s="1"/>
  <c r="N11" i="4"/>
  <c r="R11" i="5"/>
  <c r="T11" i="5" s="1"/>
  <c r="R21" i="5"/>
  <c r="T21" i="5" s="1"/>
  <c r="N21" i="4"/>
  <c r="N10" i="4"/>
  <c r="R10" i="5"/>
  <c r="B66" i="4"/>
  <c r="B67" i="4" s="1"/>
  <c r="I70" i="17" s="1"/>
  <c r="N73" i="4"/>
  <c r="R72" i="5"/>
  <c r="T72" i="5" s="1"/>
  <c r="J51" i="4"/>
  <c r="R40" i="5"/>
  <c r="T40" i="5" s="1"/>
  <c r="N40" i="4"/>
  <c r="R43" i="5"/>
  <c r="T43" i="5" s="1"/>
  <c r="N43" i="4"/>
  <c r="R24" i="5"/>
  <c r="T24" i="5" s="1"/>
  <c r="N24" i="4"/>
  <c r="R57" i="5"/>
  <c r="T57" i="5" s="1"/>
  <c r="N57" i="4"/>
  <c r="C66" i="15"/>
  <c r="N76" i="4"/>
  <c r="R75" i="5"/>
  <c r="T75" i="5" s="1"/>
  <c r="J13" i="5"/>
  <c r="F71" i="4"/>
  <c r="R60" i="5"/>
  <c r="T60" i="5" s="1"/>
  <c r="N60" i="4"/>
  <c r="N27" i="4"/>
  <c r="R27" i="5"/>
  <c r="T27" i="5" s="1"/>
  <c r="R47" i="5"/>
  <c r="T47" i="5" s="1"/>
  <c r="N47" i="4"/>
  <c r="N16" i="4"/>
  <c r="R16" i="5"/>
  <c r="J26" i="4"/>
  <c r="N34" i="4"/>
  <c r="R34" i="5"/>
  <c r="T34" i="5" s="1"/>
  <c r="Q18" i="15"/>
  <c r="N33" i="4"/>
  <c r="R33" i="5"/>
  <c r="T33" i="5" s="1"/>
  <c r="N32" i="4"/>
  <c r="R32" i="5"/>
  <c r="T32" i="5" s="1"/>
  <c r="C81" i="5"/>
  <c r="C82" i="5" s="1"/>
  <c r="N41" i="4"/>
  <c r="R41" i="5"/>
  <c r="T41" i="5" s="1"/>
  <c r="R50" i="5"/>
  <c r="T50" i="5" s="1"/>
  <c r="N50" i="4"/>
  <c r="N55" i="4"/>
  <c r="R55" i="5"/>
  <c r="T55" i="5" s="1"/>
  <c r="N28" i="4"/>
  <c r="R28" i="5"/>
  <c r="T28" i="5" s="1"/>
  <c r="R9" i="5"/>
  <c r="T9" i="5" s="1"/>
  <c r="J13" i="4"/>
  <c r="R20" i="5"/>
  <c r="T20" i="5" s="1"/>
  <c r="N20" i="4"/>
  <c r="R44" i="5"/>
  <c r="T44" i="5" s="1"/>
  <c r="N44" i="4"/>
  <c r="R49" i="5"/>
  <c r="T49" i="5" s="1"/>
  <c r="N49" i="4"/>
  <c r="J26" i="5"/>
  <c r="R19" i="5"/>
  <c r="T19" i="5" s="1"/>
  <c r="N19" i="4"/>
  <c r="N23" i="4"/>
  <c r="R23" i="5"/>
  <c r="T23" i="5" s="1"/>
  <c r="R12" i="5"/>
  <c r="T12" i="5" s="1"/>
  <c r="N12" i="4"/>
  <c r="R48" i="5"/>
  <c r="T48" i="5" s="1"/>
  <c r="N48" i="4"/>
  <c r="R74" i="5"/>
  <c r="T74" i="5" s="1"/>
  <c r="N75" i="4"/>
  <c r="N59" i="4"/>
  <c r="R59" i="5"/>
  <c r="T59" i="5" s="1"/>
  <c r="N17" i="4"/>
  <c r="R17" i="5"/>
  <c r="T17" i="5" s="1"/>
  <c r="N18" i="4"/>
  <c r="R18" i="5"/>
  <c r="T18" i="5" s="1"/>
  <c r="N54" i="4"/>
  <c r="J62" i="4"/>
  <c r="R62" i="5" s="1"/>
  <c r="T62" i="5" s="1"/>
  <c r="R54" i="5"/>
  <c r="T54" i="5" s="1"/>
  <c r="C39" i="15"/>
  <c r="R45" i="5"/>
  <c r="T45" i="5" s="1"/>
  <c r="N45" i="4"/>
  <c r="R22" i="5"/>
  <c r="T22" i="5" s="1"/>
  <c r="Q12" i="15"/>
  <c r="L10" i="5"/>
  <c r="B77" i="4"/>
  <c r="C72" i="15"/>
  <c r="B70" i="5"/>
  <c r="D70" i="5" s="1"/>
  <c r="F64" i="4"/>
  <c r="J51" i="5"/>
  <c r="L51" i="5" s="1"/>
  <c r="R29" i="5"/>
  <c r="T29" i="5" s="1"/>
  <c r="R46" i="5"/>
  <c r="T46" i="5" s="1"/>
  <c r="N46" i="4"/>
  <c r="N42" i="4"/>
  <c r="R42" i="5"/>
  <c r="T42" i="5" s="1"/>
  <c r="O66" i="15"/>
  <c r="D8" i="16" l="1"/>
  <c r="BC70" i="1"/>
  <c r="BC70" i="13"/>
  <c r="BC70" i="17"/>
  <c r="AG70" i="17"/>
  <c r="AS70" i="13"/>
  <c r="AI70" i="1"/>
  <c r="D70" i="1"/>
  <c r="AY70" i="1"/>
  <c r="AK70" i="13"/>
  <c r="F8" i="16"/>
  <c r="G70" i="13"/>
  <c r="R70" i="1"/>
  <c r="L70" i="13"/>
  <c r="AJ70" i="13"/>
  <c r="S70" i="17"/>
  <c r="BB70" i="13"/>
  <c r="S70" i="13"/>
  <c r="AE70" i="17"/>
  <c r="H70" i="17"/>
  <c r="T70" i="13"/>
  <c r="AI70" i="17"/>
  <c r="BB70" i="17"/>
  <c r="G63" i="10"/>
  <c r="AP70" i="1"/>
  <c r="AW70" i="1"/>
  <c r="Z70" i="13"/>
  <c r="L70" i="1"/>
  <c r="AW70" i="17"/>
  <c r="AV70" i="17"/>
  <c r="M70" i="13"/>
  <c r="AQ70" i="1"/>
  <c r="AH70" i="1"/>
  <c r="F70" i="13"/>
  <c r="AZ70" i="17"/>
  <c r="I63" i="10"/>
  <c r="S70" i="1"/>
  <c r="I70" i="1"/>
  <c r="X70" i="17"/>
  <c r="AC70" i="1"/>
  <c r="R70" i="13"/>
  <c r="Q70" i="13"/>
  <c r="AS70" i="1"/>
  <c r="W70" i="17"/>
  <c r="BA70" i="1"/>
  <c r="E70" i="1"/>
  <c r="V70" i="13"/>
  <c r="C70" i="13"/>
  <c r="AU70" i="1"/>
  <c r="AB70" i="1"/>
  <c r="O70" i="17"/>
  <c r="AF70" i="17"/>
  <c r="U70" i="13"/>
  <c r="AX70" i="1"/>
  <c r="I63" i="12"/>
  <c r="J68" i="15" s="1"/>
  <c r="AX70" i="13"/>
  <c r="B37" i="5"/>
  <c r="M70" i="1"/>
  <c r="AX70" i="17"/>
  <c r="AR70" i="13"/>
  <c r="AV70" i="13"/>
  <c r="G63" i="12"/>
  <c r="H68" i="15" s="1"/>
  <c r="E70" i="13"/>
  <c r="L70" i="17"/>
  <c r="BA70" i="13"/>
  <c r="Y70" i="13"/>
  <c r="AW70" i="13"/>
  <c r="P70" i="13"/>
  <c r="Y70" i="1"/>
  <c r="O70" i="13"/>
  <c r="M70" i="17"/>
  <c r="AZ70" i="1"/>
  <c r="AA70" i="17"/>
  <c r="V70" i="17"/>
  <c r="AU70" i="13"/>
  <c r="AI70" i="13"/>
  <c r="V70" i="1"/>
  <c r="AT70" i="17"/>
  <c r="AY70" i="13"/>
  <c r="T70" i="17"/>
  <c r="H70" i="13"/>
  <c r="AB70" i="13"/>
  <c r="AA70" i="1"/>
  <c r="B68" i="4"/>
  <c r="C69" i="15" s="1"/>
  <c r="AV70" i="1"/>
  <c r="R70" i="17"/>
  <c r="P70" i="17"/>
  <c r="F70" i="17"/>
  <c r="AS70" i="17"/>
  <c r="AL70" i="13"/>
  <c r="BA70" i="17"/>
  <c r="AA70" i="13"/>
  <c r="AT70" i="13"/>
  <c r="Z70" i="17"/>
  <c r="E63" i="10"/>
  <c r="G70" i="1"/>
  <c r="D63" i="10"/>
  <c r="AH70" i="13"/>
  <c r="D63" i="12"/>
  <c r="E68" i="15" s="1"/>
  <c r="C70" i="17"/>
  <c r="Z70" i="1"/>
  <c r="AT70" i="1"/>
  <c r="N70" i="17"/>
  <c r="AU70" i="17"/>
  <c r="J70" i="1"/>
  <c r="AR70" i="1"/>
  <c r="W70" i="1"/>
  <c r="AP70" i="13"/>
  <c r="K70" i="13"/>
  <c r="F70" i="1"/>
  <c r="N70" i="1"/>
  <c r="T31" i="5"/>
  <c r="Q33" i="15"/>
  <c r="H70" i="1"/>
  <c r="O72" i="15"/>
  <c r="Q53" i="15"/>
  <c r="AY70" i="17"/>
  <c r="AF70" i="13"/>
  <c r="AK70" i="1"/>
  <c r="K70" i="1"/>
  <c r="E70" i="17"/>
  <c r="AJ70" i="17"/>
  <c r="N70" i="13"/>
  <c r="E63" i="12"/>
  <c r="F68" i="15" s="1"/>
  <c r="J70" i="13"/>
  <c r="U70" i="17"/>
  <c r="D70" i="13"/>
  <c r="J63" i="10"/>
  <c r="F63" i="10"/>
  <c r="AQ70" i="17"/>
  <c r="O70" i="1"/>
  <c r="C70" i="1"/>
  <c r="X70" i="13"/>
  <c r="BB70" i="1"/>
  <c r="F63" i="12"/>
  <c r="G68" i="15" s="1"/>
  <c r="AJ70" i="1"/>
  <c r="AG70" i="13"/>
  <c r="AL70" i="1"/>
  <c r="AB70" i="17"/>
  <c r="AP70" i="17"/>
  <c r="AR70" i="17"/>
  <c r="P70" i="1"/>
  <c r="AG70" i="1"/>
  <c r="G70" i="17"/>
  <c r="J70" i="17"/>
  <c r="AC70" i="17"/>
  <c r="K70" i="17"/>
  <c r="Q70" i="17"/>
  <c r="AF70" i="1"/>
  <c r="AQ70" i="13"/>
  <c r="Q70" i="1"/>
  <c r="AC70" i="13"/>
  <c r="AE70" i="1"/>
  <c r="J63" i="12"/>
  <c r="K68" i="15" s="1"/>
  <c r="I70" i="13"/>
  <c r="BG70" i="17"/>
  <c r="BG70" i="13"/>
  <c r="BG70" i="1"/>
  <c r="BE70" i="1"/>
  <c r="BF70" i="17"/>
  <c r="BF70" i="1"/>
  <c r="BF70" i="13"/>
  <c r="BD70" i="1"/>
  <c r="BE70" i="17"/>
  <c r="BD70" i="13"/>
  <c r="BE70" i="13"/>
  <c r="BD70" i="17"/>
  <c r="U70" i="1"/>
  <c r="W70" i="13"/>
  <c r="L26" i="5"/>
  <c r="AK70" i="17"/>
  <c r="AL70" i="17"/>
  <c r="AE70" i="13"/>
  <c r="AM70" i="17"/>
  <c r="AN70" i="17"/>
  <c r="AO70" i="17"/>
  <c r="AM70" i="1"/>
  <c r="AO70" i="1"/>
  <c r="AN70" i="1"/>
  <c r="AN70" i="13"/>
  <c r="AM70" i="13"/>
  <c r="AO70" i="13"/>
  <c r="Y70" i="17"/>
  <c r="T70" i="1"/>
  <c r="AH70" i="17"/>
  <c r="D70" i="17"/>
  <c r="AZ70" i="13"/>
  <c r="N62" i="4"/>
  <c r="Q66" i="15"/>
  <c r="J71" i="4"/>
  <c r="R13" i="5"/>
  <c r="J70" i="5"/>
  <c r="L13" i="5"/>
  <c r="R51" i="5"/>
  <c r="T51" i="5" s="1"/>
  <c r="J64" i="4"/>
  <c r="B80" i="4"/>
  <c r="B82" i="4" s="1"/>
  <c r="B76" i="5"/>
  <c r="D76" i="5" s="1"/>
  <c r="C78" i="15"/>
  <c r="Q15" i="15"/>
  <c r="C10" i="7"/>
  <c r="C12" i="7" s="1"/>
  <c r="J64" i="5"/>
  <c r="L64" i="5" s="1"/>
  <c r="Q28" i="15"/>
  <c r="R26" i="5"/>
  <c r="X70" i="1"/>
  <c r="B67" i="5"/>
  <c r="D67" i="5" s="1"/>
  <c r="C68" i="15"/>
  <c r="W13" i="5"/>
  <c r="T16" i="5"/>
  <c r="N51" i="4"/>
  <c r="D37" i="5"/>
  <c r="T10" i="5"/>
  <c r="Q72" i="15" l="1"/>
  <c r="N64" i="4"/>
  <c r="T26" i="5"/>
  <c r="X31" i="5"/>
  <c r="C24" i="7"/>
  <c r="C16" i="7"/>
  <c r="AD77" i="1" s="1"/>
  <c r="C20" i="7"/>
  <c r="C22" i="7" s="1"/>
  <c r="R64" i="5"/>
  <c r="T64" i="5" s="1"/>
  <c r="W26" i="5"/>
  <c r="B79" i="5"/>
  <c r="D79" i="5" s="1"/>
  <c r="C81" i="15"/>
  <c r="T13" i="5"/>
  <c r="L70" i="5"/>
  <c r="R70" i="5"/>
  <c r="T70" i="5" s="1"/>
  <c r="K81" i="5" l="1"/>
  <c r="K82" i="5" s="1"/>
  <c r="B77" i="1"/>
  <c r="D74" i="4" s="1"/>
  <c r="H70" i="10"/>
  <c r="C26" i="7"/>
  <c r="AD77" i="17" s="1"/>
  <c r="H70" i="11" s="1"/>
  <c r="B81" i="5"/>
  <c r="B83" i="4"/>
  <c r="AD80" i="1"/>
  <c r="B80" i="1" s="1"/>
  <c r="S81" i="5" l="1"/>
  <c r="S82" i="5" s="1"/>
  <c r="C70" i="11"/>
  <c r="B77" i="17"/>
  <c r="H74" i="4" s="1"/>
  <c r="N73" i="5" s="1"/>
  <c r="P73" i="5" s="1"/>
  <c r="AD80" i="17"/>
  <c r="AD77" i="13"/>
  <c r="B77" i="13" s="1"/>
  <c r="D77" i="4"/>
  <c r="F73" i="5"/>
  <c r="H73" i="5" s="1"/>
  <c r="F74" i="4"/>
  <c r="H73" i="11"/>
  <c r="C70" i="10"/>
  <c r="H73" i="10"/>
  <c r="H70" i="12"/>
  <c r="AD83" i="1"/>
  <c r="B83" i="1" s="1"/>
  <c r="F83" i="4"/>
  <c r="B82" i="5"/>
  <c r="AD83" i="17" l="1"/>
  <c r="B83" i="17" s="1"/>
  <c r="B80" i="17"/>
  <c r="AD80" i="13"/>
  <c r="B80" i="13" s="1"/>
  <c r="H77" i="4"/>
  <c r="N76" i="5" s="1"/>
  <c r="P76" i="5" s="1"/>
  <c r="D80" i="4"/>
  <c r="D82" i="4" s="1"/>
  <c r="F76" i="5"/>
  <c r="H76" i="5" s="1"/>
  <c r="H73" i="12"/>
  <c r="I75" i="15"/>
  <c r="M75" i="15" s="1"/>
  <c r="O75" i="15" s="1"/>
  <c r="Q75" i="15" s="1"/>
  <c r="C70" i="12"/>
  <c r="J82" i="5"/>
  <c r="L82" i="5" s="1"/>
  <c r="J83" i="4"/>
  <c r="AD85" i="1"/>
  <c r="B85" i="1" s="1"/>
  <c r="W81" i="5"/>
  <c r="C73" i="10"/>
  <c r="H76" i="10"/>
  <c r="H78" i="10" s="1"/>
  <c r="C73" i="11"/>
  <c r="H76" i="11"/>
  <c r="H78" i="11" s="1"/>
  <c r="J73" i="5"/>
  <c r="L73" i="5" s="1"/>
  <c r="J74" i="4"/>
  <c r="F77" i="4"/>
  <c r="AD85" i="17" l="1"/>
  <c r="B85" i="17" s="1"/>
  <c r="H80" i="4"/>
  <c r="AD83" i="13"/>
  <c r="B83" i="13" s="1"/>
  <c r="N74" i="4"/>
  <c r="R73" i="5"/>
  <c r="T73" i="5" s="1"/>
  <c r="J77" i="4"/>
  <c r="AD87" i="1"/>
  <c r="B87" i="1" s="1"/>
  <c r="C76" i="10"/>
  <c r="W82" i="5"/>
  <c r="X82" i="5" s="1"/>
  <c r="R82" i="5"/>
  <c r="T82" i="5" s="1"/>
  <c r="N83" i="4"/>
  <c r="C73" i="12"/>
  <c r="I78" i="15"/>
  <c r="M78" i="15" s="1"/>
  <c r="O78" i="15" s="1"/>
  <c r="Q78" i="15" s="1"/>
  <c r="H76" i="12"/>
  <c r="H78" i="12" s="1"/>
  <c r="AD87" i="17"/>
  <c r="B87" i="17" s="1"/>
  <c r="C76" i="11"/>
  <c r="F80" i="4"/>
  <c r="F82" i="4" s="1"/>
  <c r="J76" i="5"/>
  <c r="L76" i="5" s="1"/>
  <c r="F79" i="5"/>
  <c r="H79" i="5" s="1"/>
  <c r="N79" i="5" l="1"/>
  <c r="P79" i="5" s="1"/>
  <c r="H82" i="4"/>
  <c r="N81" i="5" s="1"/>
  <c r="P81" i="5" s="1"/>
  <c r="AD85" i="13"/>
  <c r="D84" i="4"/>
  <c r="F81" i="5"/>
  <c r="C76" i="12"/>
  <c r="I81" i="15"/>
  <c r="M81" i="15" s="1"/>
  <c r="O81" i="15" s="1"/>
  <c r="Q81" i="15" s="1"/>
  <c r="H80" i="10"/>
  <c r="C78" i="10"/>
  <c r="AD33" i="1"/>
  <c r="R76" i="5"/>
  <c r="T76" i="5" s="1"/>
  <c r="J80" i="4"/>
  <c r="J82" i="4" s="1"/>
  <c r="AD33" i="17"/>
  <c r="J79" i="5"/>
  <c r="L79" i="5" s="1"/>
  <c r="C78" i="11"/>
  <c r="H80" i="11"/>
  <c r="B33" i="1" l="1"/>
  <c r="H27" i="10"/>
  <c r="H32" i="10" s="1"/>
  <c r="H34" i="10" s="1"/>
  <c r="B33" i="17"/>
  <c r="H27" i="11"/>
  <c r="H32" i="11" s="1"/>
  <c r="H34" i="11" s="1"/>
  <c r="AD87" i="13"/>
  <c r="AD93" i="13" s="1"/>
  <c r="B85" i="13"/>
  <c r="H84" i="4"/>
  <c r="H30" i="4" s="1"/>
  <c r="J81" i="5"/>
  <c r="L81" i="5" s="1"/>
  <c r="F84" i="4"/>
  <c r="AD38" i="17"/>
  <c r="B38" i="17" s="1"/>
  <c r="R79" i="5"/>
  <c r="T79" i="5" s="1"/>
  <c r="H80" i="12"/>
  <c r="C78" i="12"/>
  <c r="C80" i="11"/>
  <c r="C27" i="11" s="1"/>
  <c r="C32" i="11" s="1"/>
  <c r="C34" i="11" s="1"/>
  <c r="C80" i="10"/>
  <c r="C27" i="10" s="1"/>
  <c r="C32" i="10" s="1"/>
  <c r="C34" i="10" s="1"/>
  <c r="AD38" i="1"/>
  <c r="B38" i="1" s="1"/>
  <c r="AD33" i="13"/>
  <c r="B33" i="13" s="1"/>
  <c r="F83" i="5"/>
  <c r="H83" i="5" s="1"/>
  <c r="D30" i="4"/>
  <c r="B87" i="13" l="1"/>
  <c r="N83" i="5"/>
  <c r="P83" i="5" s="1"/>
  <c r="H27" i="12"/>
  <c r="I83" i="15"/>
  <c r="M83" i="15" s="1"/>
  <c r="O83" i="15" s="1"/>
  <c r="Q83" i="15" s="1"/>
  <c r="C80" i="12"/>
  <c r="C27" i="12" s="1"/>
  <c r="C32" i="12" s="1"/>
  <c r="C34" i="12" s="1"/>
  <c r="C64" i="10"/>
  <c r="C63" i="10"/>
  <c r="R81" i="5"/>
  <c r="T81" i="5" s="1"/>
  <c r="J84" i="4"/>
  <c r="H64" i="11"/>
  <c r="AD38" i="13"/>
  <c r="B38" i="13" s="1"/>
  <c r="F30" i="5"/>
  <c r="H30" i="5" s="1"/>
  <c r="D35" i="4"/>
  <c r="AD40" i="1"/>
  <c r="B40" i="1" s="1"/>
  <c r="H64" i="10"/>
  <c r="H63" i="10"/>
  <c r="H35" i="4"/>
  <c r="N30" i="5"/>
  <c r="P30" i="5" s="1"/>
  <c r="F30" i="4"/>
  <c r="J83" i="5"/>
  <c r="L83" i="5" s="1"/>
  <c r="C64" i="11"/>
  <c r="AD40" i="17"/>
  <c r="B40" i="17" s="1"/>
  <c r="J30" i="5" l="1"/>
  <c r="L30" i="5" s="1"/>
  <c r="F35" i="4"/>
  <c r="AD40" i="13"/>
  <c r="R83" i="5"/>
  <c r="T83" i="5" s="1"/>
  <c r="J30" i="4"/>
  <c r="C64" i="12"/>
  <c r="C63" i="12"/>
  <c r="N35" i="5"/>
  <c r="P35" i="5" s="1"/>
  <c r="H37" i="4"/>
  <c r="B70" i="1"/>
  <c r="AD70" i="1"/>
  <c r="AD71" i="1"/>
  <c r="B71" i="1" s="1"/>
  <c r="AD71" i="17"/>
  <c r="B71" i="17" s="1"/>
  <c r="B70" i="17"/>
  <c r="AD70" i="17"/>
  <c r="D37" i="4"/>
  <c r="F35" i="5"/>
  <c r="H35" i="5" s="1"/>
  <c r="H32" i="12"/>
  <c r="H34" i="12" s="1"/>
  <c r="I32" i="15"/>
  <c r="B40" i="13" l="1"/>
  <c r="D46" i="16" a="1"/>
  <c r="AD71" i="13"/>
  <c r="AD90" i="13" s="1"/>
  <c r="AD70" i="13"/>
  <c r="B70" i="13" s="1"/>
  <c r="N37" i="5"/>
  <c r="P37" i="5" s="1"/>
  <c r="H68" i="4"/>
  <c r="R30" i="5"/>
  <c r="T30" i="5" s="1"/>
  <c r="J35" i="4"/>
  <c r="J35" i="5"/>
  <c r="L35" i="5" s="1"/>
  <c r="F37" i="4"/>
  <c r="M32" i="15"/>
  <c r="I37" i="15"/>
  <c r="I39" i="15" s="1"/>
  <c r="H64" i="12"/>
  <c r="I69" i="15" s="1"/>
  <c r="H63" i="12"/>
  <c r="I68" i="15" s="1"/>
  <c r="F37" i="5"/>
  <c r="H37" i="5" s="1"/>
  <c r="D68" i="4"/>
  <c r="B71" i="13" l="1"/>
  <c r="D46" i="16"/>
  <c r="D55" i="16"/>
  <c r="F55" i="16" s="1"/>
  <c r="D48" i="16"/>
  <c r="F48" i="16" s="1"/>
  <c r="D54" i="16"/>
  <c r="F54" i="16" s="1"/>
  <c r="D56" i="16"/>
  <c r="F56" i="16" s="1"/>
  <c r="D49" i="16"/>
  <c r="F49" i="16" s="1"/>
  <c r="D57" i="16"/>
  <c r="F57" i="16" s="1"/>
  <c r="D50" i="16"/>
  <c r="F50" i="16" s="1"/>
  <c r="D53" i="16"/>
  <c r="F53" i="16" s="1"/>
  <c r="D47" i="16"/>
  <c r="F47" i="16" s="1"/>
  <c r="D51" i="16"/>
  <c r="F51" i="16" s="1"/>
  <c r="D52" i="16"/>
  <c r="F52" i="16" s="1"/>
  <c r="R35" i="5"/>
  <c r="T35" i="5" s="1"/>
  <c r="J37" i="4"/>
  <c r="M37" i="15"/>
  <c r="M39" i="15" s="1"/>
  <c r="M69" i="15" s="1"/>
  <c r="O32" i="15"/>
  <c r="J37" i="5"/>
  <c r="L37" i="5" s="1"/>
  <c r="F68" i="4"/>
  <c r="F66" i="4"/>
  <c r="O37" i="15" l="1"/>
  <c r="Q32" i="15"/>
  <c r="F67" i="4"/>
  <c r="D66" i="4"/>
  <c r="J68" i="4"/>
  <c r="L9" i="4"/>
  <c r="R37" i="5"/>
  <c r="T37" i="5" s="1"/>
  <c r="J66" i="4"/>
  <c r="D58" i="16"/>
  <c r="D82" i="16" s="1"/>
  <c r="D84" i="16" s="1"/>
  <c r="F46" i="16"/>
  <c r="F58" i="16" s="1"/>
  <c r="H58" i="16" s="1"/>
  <c r="O39" i="15" l="1"/>
  <c r="Q37" i="15"/>
  <c r="F82" i="16"/>
  <c r="F84" i="16" s="1"/>
  <c r="L22" i="4"/>
  <c r="L29" i="4"/>
  <c r="L13" i="4"/>
  <c r="V9" i="5"/>
  <c r="X9" i="5" s="1"/>
  <c r="N9" i="4"/>
  <c r="N13" i="4" s="1"/>
  <c r="J67" i="4"/>
  <c r="O68" i="15" s="1"/>
  <c r="H66" i="4"/>
  <c r="D67" i="4"/>
  <c r="F67" i="5" s="1"/>
  <c r="H67" i="5" s="1"/>
  <c r="J67" i="5"/>
  <c r="L67" i="5" s="1"/>
  <c r="G63" i="11"/>
  <c r="J63" i="11"/>
  <c r="E63" i="11"/>
  <c r="H63" i="11"/>
  <c r="I63" i="11"/>
  <c r="C63" i="11"/>
  <c r="D63" i="11"/>
  <c r="F63" i="11"/>
  <c r="O69" i="15" l="1"/>
  <c r="Q69" i="15" s="1"/>
  <c r="Q39" i="15"/>
  <c r="R67" i="5"/>
  <c r="T67" i="5" s="1"/>
  <c r="H67" i="4"/>
  <c r="N67" i="5" s="1"/>
  <c r="P67" i="5" s="1"/>
  <c r="V29" i="5"/>
  <c r="X29" i="5" s="1"/>
  <c r="N29" i="4"/>
  <c r="V22" i="5"/>
  <c r="X22" i="5" s="1"/>
  <c r="L26" i="4"/>
  <c r="N22" i="4"/>
  <c r="N26" i="4" s="1"/>
  <c r="V13" i="5"/>
  <c r="X13" i="5" s="1"/>
  <c r="H82" i="16"/>
  <c r="N71" i="4" l="1"/>
  <c r="N77" i="4" s="1"/>
  <c r="N80" i="4" s="1"/>
  <c r="L71" i="4"/>
  <c r="V26" i="5"/>
  <c r="X26" i="5" s="1"/>
  <c r="N82" i="4" l="1"/>
  <c r="N84" i="4" s="1"/>
  <c r="N30" i="4" s="1"/>
  <c r="N35" i="4" s="1"/>
  <c r="N37" i="4" s="1"/>
  <c r="N66" i="4" s="1"/>
  <c r="L77" i="4"/>
  <c r="V70" i="5"/>
  <c r="X70" i="5" s="1"/>
  <c r="L66" i="4" l="1"/>
  <c r="N67" i="4"/>
  <c r="L67" i="4" s="1"/>
  <c r="V76" i="5"/>
  <c r="X76" i="5" s="1"/>
  <c r="L80" i="4"/>
  <c r="L82" i="4" s="1"/>
  <c r="V79" i="5" l="1"/>
  <c r="X79" i="5" s="1"/>
  <c r="V81" i="5" l="1"/>
  <c r="X81" i="5" s="1"/>
  <c r="L84" i="4"/>
  <c r="L30" i="4" l="1"/>
  <c r="V83" i="5"/>
  <c r="X83" i="5" s="1"/>
  <c r="V30" i="5" l="1"/>
  <c r="X30" i="5" s="1"/>
  <c r="L35" i="4"/>
  <c r="V35" i="5" l="1"/>
  <c r="X35" i="5" s="1"/>
  <c r="L37" i="4"/>
  <c r="V37" i="5" s="1"/>
  <c r="X37" i="5" s="1"/>
</calcChain>
</file>

<file path=xl/sharedStrings.xml><?xml version="1.0" encoding="utf-8"?>
<sst xmlns="http://schemas.openxmlformats.org/spreadsheetml/2006/main" count="1013" uniqueCount="347">
  <si>
    <t>3.1</t>
  </si>
  <si>
    <t>4.1</t>
  </si>
  <si>
    <t>3.2</t>
  </si>
  <si>
    <t>3.3</t>
  </si>
  <si>
    <t>3.4</t>
  </si>
  <si>
    <t>4.2</t>
  </si>
  <si>
    <t>4.3</t>
  </si>
  <si>
    <t>4.4</t>
  </si>
  <si>
    <t>4.5</t>
  </si>
  <si>
    <t>4.6</t>
  </si>
  <si>
    <t>4.7</t>
  </si>
  <si>
    <t>5.1</t>
  </si>
  <si>
    <t>6.1</t>
  </si>
  <si>
    <t>7.1</t>
  </si>
  <si>
    <t>7.2</t>
  </si>
  <si>
    <t>7.3</t>
  </si>
  <si>
    <t>7.4</t>
  </si>
  <si>
    <t>7.7</t>
  </si>
  <si>
    <t>7.8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</si>
  <si>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</si>
  <si>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</si>
  <si>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</si>
  <si>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</si>
  <si>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</si>
  <si>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</si>
  <si>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</si>
  <si>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</si>
  <si>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</si>
  <si>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 xml:space="preserve">Capital Structure </t>
  </si>
  <si>
    <t>Embedded Cost</t>
  </si>
  <si>
    <t>Weighted Cost</t>
  </si>
  <si>
    <t>DEBT%</t>
  </si>
  <si>
    <t>PREFERRED %</t>
  </si>
  <si>
    <t>COMMON %</t>
  </si>
  <si>
    <t>Tab 6</t>
  </si>
  <si>
    <t>Tab 3 - Revenue</t>
  </si>
  <si>
    <t>Tab 7 - Taxes</t>
  </si>
  <si>
    <t>Tab 8 - Rate Base</t>
  </si>
  <si>
    <t>4.8</t>
  </si>
  <si>
    <t>7.5</t>
  </si>
  <si>
    <t>7.6</t>
  </si>
  <si>
    <t>5.2</t>
  </si>
  <si>
    <t>PacifiCorp</t>
  </si>
  <si>
    <t>Estimated Price Change</t>
  </si>
  <si>
    <t>Return on Rate Base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</si>
  <si>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</si>
  <si>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</si>
  <si>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</si>
  <si>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</si>
  <si>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</si>
  <si>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</si>
  <si>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</si>
  <si>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</si>
  <si>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</si>
  <si>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</si>
  <si>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</si>
  <si>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</si>
  <si>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</si>
  <si>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</si>
  <si>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</si>
  <si>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</si>
  <si>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</si>
  <si>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</si>
  <si>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</si>
  <si>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</si>
  <si>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</si>
  <si>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</si>
  <si>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</si>
  <si>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</si>
  <si>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</si>
  <si>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</si>
  <si>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</si>
  <si>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</si>
  <si>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</si>
  <si>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</si>
  <si>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</si>
  <si>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</si>
  <si>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</si>
  <si>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</si>
  <si>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</si>
  <si>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</si>
  <si>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</si>
  <si>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</si>
  <si>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</si>
  <si>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</si>
  <si>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</si>
  <si>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</si>
  <si>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</si>
  <si>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</si>
  <si>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</si>
  <si>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</si>
  <si>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</si>
  <si>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</si>
  <si>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</si>
  <si>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 xml:space="preserve">     Total Rate Base Deductions</t>
  </si>
  <si>
    <t xml:space="preserve">   Total Rate Base:</t>
  </si>
  <si>
    <t>Return on Equity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</si>
  <si>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</si>
  <si>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</si>
  <si>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</si>
  <si>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</si>
  <si>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</si>
  <si>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</si>
  <si>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</si>
  <si>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</si>
  <si>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</si>
  <si>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</si>
  <si>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Temperature Normalization</t>
  </si>
  <si>
    <t>Remove Non-Recurring Entries</t>
  </si>
  <si>
    <t>Interest True Up</t>
  </si>
  <si>
    <t>Customer Advances for Construction</t>
  </si>
  <si>
    <t>Restating Adjustments</t>
  </si>
  <si>
    <t>Total Restated Actual Results</t>
  </si>
  <si>
    <t>Total Normalized Results</t>
  </si>
  <si>
    <t>(1)</t>
  </si>
  <si>
    <t>(2)</t>
  </si>
  <si>
    <t>(3)</t>
  </si>
  <si>
    <t>(4)</t>
  </si>
  <si>
    <t>(5)</t>
  </si>
  <si>
    <t>(6)</t>
  </si>
  <si>
    <t>Unadjusted
Results</t>
  </si>
  <si>
    <t>(1) + (2)</t>
  </si>
  <si>
    <t>(3) + (4)</t>
  </si>
  <si>
    <t>(From RAM - Results Tab)</t>
  </si>
  <si>
    <t>Interest True-up Calculation</t>
  </si>
  <si>
    <t>Unadjusted Interest Expense</t>
  </si>
  <si>
    <t>Restated Washington Allocated Rate Base</t>
  </si>
  <si>
    <t>Weighted Cost of Debt</t>
  </si>
  <si>
    <t>Restated Interest Expense</t>
  </si>
  <si>
    <t>Restating Adjustment</t>
  </si>
  <si>
    <t>Restated Results</t>
  </si>
  <si>
    <t>Federal Income Taxes Before Credits</t>
  </si>
  <si>
    <t>Energy Tax Credits</t>
  </si>
  <si>
    <t>Federal Income Taxes</t>
  </si>
  <si>
    <t>Price Change</t>
  </si>
  <si>
    <t>Results with Price Change</t>
  </si>
  <si>
    <t>(7)</t>
  </si>
  <si>
    <t>WUTC Regulatory Fee</t>
  </si>
  <si>
    <t>Operating Deductions</t>
  </si>
  <si>
    <t>Uncollectable Accounts</t>
  </si>
  <si>
    <t>Taxes Other - Resource Supplier</t>
  </si>
  <si>
    <t>Taxes Other - Gross Receipts</t>
  </si>
  <si>
    <t>Sub-Total</t>
  </si>
  <si>
    <t>Net Operating Income</t>
  </si>
  <si>
    <t>Net to Gross Bump-up Factor</t>
  </si>
  <si>
    <t>State Taxes</t>
  </si>
  <si>
    <t>(5) + (6)</t>
  </si>
  <si>
    <t>Unadjusted Results</t>
  </si>
  <si>
    <t>Capital Structure and Cost</t>
  </si>
  <si>
    <t>Estimated Return on Equity Impact</t>
  </si>
  <si>
    <t>Variables</t>
  </si>
  <si>
    <t>Variance</t>
  </si>
  <si>
    <t>Summary
Sheet</t>
  </si>
  <si>
    <t>Regulatory Adjustment Model (RAM)</t>
  </si>
  <si>
    <t>Check Totals (RAM to Summary Tab)</t>
  </si>
  <si>
    <t>Above</t>
  </si>
  <si>
    <t>Reference</t>
  </si>
  <si>
    <t>Page 2.1</t>
  </si>
  <si>
    <t>Total Adjustments</t>
  </si>
  <si>
    <t>Income Taxes:  Federal</t>
  </si>
  <si>
    <t xml:space="preserve">                         State</t>
  </si>
  <si>
    <t>Deferred Income Taxes</t>
  </si>
  <si>
    <t>Weatherization Loans</t>
  </si>
  <si>
    <t xml:space="preserve">   Deductions:</t>
  </si>
  <si>
    <t>Miscellaneous Deductions</t>
  </si>
  <si>
    <t xml:space="preserve">   Total Deductions:</t>
  </si>
  <si>
    <t>Estimated ROE impact</t>
  </si>
  <si>
    <t>Revenue Adjustments
(Tab 3)</t>
  </si>
  <si>
    <t>O&amp;M Adjustments
(Tab 4)</t>
  </si>
  <si>
    <t>Net Power Cost Adjustments
(Tab 5)</t>
  </si>
  <si>
    <t>Depreciation &amp; Amortization
(Tab 6)</t>
  </si>
  <si>
    <t>Tax Adjustments
(Tab 7)</t>
  </si>
  <si>
    <t>NOI</t>
  </si>
  <si>
    <t>Rate Base</t>
  </si>
  <si>
    <t>Unadjusted Washington Allocated Data (Per Books)</t>
  </si>
  <si>
    <t>Rev. Req.</t>
  </si>
  <si>
    <t xml:space="preserve">Notes: </t>
  </si>
  <si>
    <t>4.9</t>
  </si>
  <si>
    <t>4.10</t>
  </si>
  <si>
    <t>Colstrip #3 Removal</t>
  </si>
  <si>
    <t>Remove Deferred State Tax Expense &amp; Balance</t>
  </si>
  <si>
    <t>Insurance Expense</t>
  </si>
  <si>
    <t>Summary of Total Adjustments</t>
  </si>
  <si>
    <t>Summary of Restating Adjustments</t>
  </si>
  <si>
    <t>WASHINGTON SUMMARY OF ADJUSTMENTS - TOTAL</t>
  </si>
  <si>
    <t>WASHINGTON SUMMARY OF ADJUSTMENTS - RESTATING</t>
  </si>
  <si>
    <t>Total Adjusted Results</t>
  </si>
  <si>
    <t>8.10</t>
  </si>
  <si>
    <t>Revenue Requirement Adjustment Summary</t>
  </si>
  <si>
    <t>Summary</t>
  </si>
  <si>
    <t>Total</t>
  </si>
  <si>
    <t>Tab 3</t>
  </si>
  <si>
    <t>Tab 4</t>
  </si>
  <si>
    <t>Tab 5</t>
  </si>
  <si>
    <t>Tab 7</t>
  </si>
  <si>
    <t>Tab 8</t>
  </si>
  <si>
    <t>Revenue Adjustments</t>
  </si>
  <si>
    <t>O&amp;M Adjustments</t>
  </si>
  <si>
    <t>Net Power Cost Adjustments</t>
  </si>
  <si>
    <t>Depreciation &amp; Amortization Adjustments</t>
  </si>
  <si>
    <t>Tax Adjustments</t>
  </si>
  <si>
    <t>Rate Base Adjustments</t>
  </si>
  <si>
    <t>Normalizing Adjustments</t>
  </si>
  <si>
    <t>Washington Normalized Results</t>
  </si>
  <si>
    <t>Federal Income Taxes + Other</t>
  </si>
  <si>
    <t>Adj. No.</t>
  </si>
  <si>
    <t>Tab 3 - Revenue - Subtotal</t>
  </si>
  <si>
    <t>Tab 4 - O&amp;M - Subtotal</t>
  </si>
  <si>
    <t>Tab 5 - NPC - Subtotal</t>
  </si>
  <si>
    <t>Tab 6 - Depreciation/Amortization - Subtotal</t>
  </si>
  <si>
    <t>Tab 7 - Tax- Subtotal</t>
  </si>
  <si>
    <t>Tab 8 - Rate Base- Subtotal</t>
  </si>
  <si>
    <t>Line No.</t>
  </si>
  <si>
    <t>The table below presents the Company's restating and pro forma ratemaking adjustments and their impact on net operating income (NOI), rate base, and the Washington revenue requirement.</t>
  </si>
  <si>
    <t>A</t>
  </si>
  <si>
    <t>B</t>
  </si>
  <si>
    <t>C</t>
  </si>
  <si>
    <t>D</t>
  </si>
  <si>
    <t>E</t>
  </si>
  <si>
    <t>F</t>
  </si>
  <si>
    <t>Subtotal Normalizing Adjustments</t>
  </si>
  <si>
    <t>Removal of Colstrip #4 AFUDC</t>
  </si>
  <si>
    <t>Pro Forma Adjustments</t>
  </si>
  <si>
    <t>WASHINGTON SUMMARY OF ADJUSTMENTS - PRO FORMA</t>
  </si>
  <si>
    <t>Pro Forma Results</t>
  </si>
  <si>
    <t>Pro Forma Washington Allocated Rate Base</t>
  </si>
  <si>
    <t>Pro Forma Interest Expense</t>
  </si>
  <si>
    <t>Pro Forma Adjustment</t>
  </si>
  <si>
    <t>Summary of Pro Forma Adjustments</t>
  </si>
  <si>
    <t>Wheeling Revenue</t>
  </si>
  <si>
    <t>Advertising</t>
  </si>
  <si>
    <t>Legal Expenses</t>
  </si>
  <si>
    <t>Tab 6 - Depreciation &amp; Amortization</t>
  </si>
  <si>
    <t>6.2</t>
  </si>
  <si>
    <t>Property Tax Expense</t>
  </si>
  <si>
    <t>WA Public Utility Tax Adjustment</t>
  </si>
  <si>
    <t>Jim Bridger Mine Rate Base</t>
  </si>
  <si>
    <t>8.11</t>
  </si>
  <si>
    <t>8.12</t>
  </si>
  <si>
    <t>Tab 4 - Operations &amp; Maintenance</t>
  </si>
  <si>
    <t>PowerTax ADIT Balance</t>
  </si>
  <si>
    <t>Check</t>
  </si>
  <si>
    <t>6.3</t>
  </si>
  <si>
    <t>Production Factor</t>
  </si>
  <si>
    <t>Tab 9</t>
  </si>
  <si>
    <t>8.13</t>
  </si>
  <si>
    <t>Investor Supplied Working Capital</t>
  </si>
  <si>
    <t>WUTC Public Utility Tax</t>
  </si>
  <si>
    <t>Tabs 3-9</t>
  </si>
  <si>
    <t>Rate Base Adjustments
(Tab 8)</t>
  </si>
  <si>
    <t>6.4</t>
  </si>
  <si>
    <t>Check to RAM</t>
  </si>
  <si>
    <t>Total Pro Forma Adjustments</t>
  </si>
  <si>
    <t>Pro Forma Major Plant Additions</t>
  </si>
  <si>
    <t>Tab 5 - Net Power Cost</t>
  </si>
  <si>
    <t>Revenue Normalizing</t>
  </si>
  <si>
    <t>General Wage Increase (Annualizing)</t>
  </si>
  <si>
    <t>Accelerated Depreciation on Jim Bridger &amp; Colstrip</t>
  </si>
  <si>
    <t>Production Tax Credit</t>
  </si>
  <si>
    <t>AFUDC Equity</t>
  </si>
  <si>
    <t>End-of-Period Plant Balances</t>
  </si>
  <si>
    <t>Idaho Asset Exchange</t>
  </si>
  <si>
    <t>Revenue-Sensitive/ Uncollectible Expense</t>
  </si>
  <si>
    <t>7.9</t>
  </si>
  <si>
    <t>Total Restating Adjustments</t>
  </si>
  <si>
    <t>Page 1.0, Line 66, Column (1)</t>
  </si>
  <si>
    <t>Page 1.0, Line 57, Column (3)</t>
  </si>
  <si>
    <t>Page 1.0, Line 66, Column (3)</t>
  </si>
  <si>
    <t>Page 1.0, Line 57, Column (5)</t>
  </si>
  <si>
    <t>Page 1.0, Line 66, Column (5)</t>
  </si>
  <si>
    <t>Washington General Rate Case - 2021</t>
  </si>
  <si>
    <t>Miscellaneous Expense &amp; Revenue</t>
  </si>
  <si>
    <t>Ancillary Revenue</t>
  </si>
  <si>
    <t>General Wage Increase 
(Pro Forma)</t>
  </si>
  <si>
    <t>Federal Income Tax @ 21.00%</t>
  </si>
  <si>
    <t>Memberships &amp; Subscriptions</t>
  </si>
  <si>
    <t>Payment Fees and Bill Credits</t>
  </si>
  <si>
    <t>4.11</t>
  </si>
  <si>
    <t>4.12</t>
  </si>
  <si>
    <t>4.13</t>
  </si>
  <si>
    <t>Credit Facility Fee Adjustment</t>
  </si>
  <si>
    <t>Amortization of Pension Settlement Adjustment</t>
  </si>
  <si>
    <t>Net Power Costs - Restating</t>
  </si>
  <si>
    <t>Net Power Costs - Pro Forma</t>
  </si>
  <si>
    <t>5.3</t>
  </si>
  <si>
    <t>5.4</t>
  </si>
  <si>
    <t>REC Purchase Adjustment</t>
  </si>
  <si>
    <t>5.5</t>
  </si>
  <si>
    <t>Nodal Pricing Model Adjustment</t>
  </si>
  <si>
    <t>Pro Forma Depreciation &amp; Amortization Expense</t>
  </si>
  <si>
    <t>Pro Forma Depreciation &amp; Amortization Reserves</t>
  </si>
  <si>
    <t>End-of-Period Reserves</t>
  </si>
  <si>
    <t>6.5</t>
  </si>
  <si>
    <t>Depreciation Study</t>
  </si>
  <si>
    <t>Permanent Schedule M Adjustment</t>
  </si>
  <si>
    <t>WA Low Income Tax Credit</t>
  </si>
  <si>
    <t>7.10</t>
  </si>
  <si>
    <t>Wyoming Wind Generation Tax</t>
  </si>
  <si>
    <t>7.11</t>
  </si>
  <si>
    <t>Removal of TCJA Deferred Balances</t>
  </si>
  <si>
    <t>7.12</t>
  </si>
  <si>
    <t>Depreciation Study Adjustment Tax Impacts</t>
  </si>
  <si>
    <t>Regulatory Assets and Liabilities Amortization</t>
  </si>
  <si>
    <t>Miscellaneous Rate Base</t>
  </si>
  <si>
    <t>Removal of Bridger SCR</t>
  </si>
  <si>
    <t>Repowering Project Capital Additions</t>
  </si>
  <si>
    <t>New Wind Generation and Associated Transmission Capital Additions</t>
  </si>
  <si>
    <t>9.1</t>
  </si>
  <si>
    <t>9.2</t>
  </si>
  <si>
    <t>9.3</t>
  </si>
  <si>
    <t>System Non-Emitting Resources Adjustment</t>
  </si>
  <si>
    <t>System Transmission - New Adjustment</t>
  </si>
  <si>
    <t>System Transmission - Existing Adjustment</t>
  </si>
  <si>
    <t>9.4</t>
  </si>
  <si>
    <t>Other Adjustments
(Tab 9)</t>
  </si>
  <si>
    <t>Check to "Check Sheet"</t>
  </si>
  <si>
    <t>Washington Allocated Actual Results June 2019</t>
  </si>
  <si>
    <t>Tab 4 - O&amp;M</t>
  </si>
  <si>
    <t>Tab 6 - Depr.</t>
  </si>
  <si>
    <t>Tab 9 - Other Adjustments</t>
  </si>
  <si>
    <t>Other Adjustments</t>
  </si>
  <si>
    <t>12 Months Ended June 2019</t>
  </si>
  <si>
    <t>(1) The revenue requirement column is calculated using the Company's proposed return on rate base of 7.69% and the NOI conversion factor of 75.315%.</t>
  </si>
  <si>
    <t>Exhibit No. SEM-3</t>
  </si>
  <si>
    <t>Tab 9 - Other Adjustments - Subtotal</t>
  </si>
  <si>
    <t>Environmental Remediation</t>
  </si>
  <si>
    <t>8.14</t>
  </si>
  <si>
    <t>Other Plant Closure Costs</t>
  </si>
  <si>
    <t>Page 7.1 - Exhibit No.___(SEM-8)</t>
  </si>
  <si>
    <t>(SEM-8) Page 1.0</t>
  </si>
  <si>
    <t>(SEM-8), Page 3.0 Total</t>
  </si>
  <si>
    <t>(SEM-8), Page 4.0 Total</t>
  </si>
  <si>
    <t>(SEM-8), Page 4.0.1 Total</t>
  </si>
  <si>
    <t>(SEM-8), Page 5.0 Total</t>
  </si>
  <si>
    <t>(SEM-8), Page 6.0 Total</t>
  </si>
  <si>
    <t>(SEM-8), Page 6.0/6.0.1 Total</t>
  </si>
  <si>
    <t>(SEM-8), Page 6.0.1 Total</t>
  </si>
  <si>
    <t>(SEM-8), Page 6.0.1/6.0.2 Total</t>
  </si>
  <si>
    <t>(SEM-8), Page 7.0 Total</t>
  </si>
  <si>
    <t>(SEM-8), Page 7.0.1 Total</t>
  </si>
  <si>
    <t>(SEM-8), Page 8.0 Total</t>
  </si>
  <si>
    <t>(SEM-8), Page 8.0/8.0.1 Total</t>
  </si>
  <si>
    <t>(SEM-8), Page 8.0.1 Total</t>
  </si>
  <si>
    <t>(SEM-8), Page 8.0.2 Total</t>
  </si>
  <si>
    <t>(SEM-8), Page 8.0.3 Total</t>
  </si>
  <si>
    <t>(SEM-8), Page 9.0 Total</t>
  </si>
  <si>
    <t>The development of these percentages can be found in Exhibit No. SEM-8 on pages 2.1 and 1.3 respectively.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</si>
</sst>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000000000000%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3" tint="0.39997558519241921"/>
      <name val="Arial"/>
      <family val="2"/>
    </font>
    <font>
      <b/>
      <sz val="8"/>
      <color rgb="FFFF0000"/>
      <name val="Arial"/>
      <family val="2"/>
    </font>
    <font>
      <b/>
      <sz val="8"/>
      <color theme="3" tint="0.3999755851924192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291">
    <xf numFmtId="0" fontId="0" fillId="0" borderId="0" xfId="0"/>
    <xf numFmtId="164" fontId="4" fillId="0" borderId="0" xfId="1" applyNumberFormat="1" applyFont="1" applyAlignment="1">
      <alignment horizontal="left"/>
    </xf>
    <xf numFmtId="164" fontId="2" fillId="0" borderId="0" xfId="1" applyNumberFormat="1" applyFont="1" applyFill="1" applyBorder="1"/>
    <xf numFmtId="164" fontId="2" fillId="0" borderId="0" xfId="1" applyNumberFormat="1" applyFont="1"/>
    <xf numFmtId="164" fontId="4" fillId="0" borderId="0" xfId="1" applyNumberFormat="1" applyFont="1" applyFill="1" applyBorder="1"/>
    <xf numFmtId="164" fontId="4" fillId="0" borderId="0" xfId="1" applyNumberFormat="1" applyFont="1"/>
    <xf numFmtId="164" fontId="4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2" fillId="0" borderId="0" xfId="1" applyNumberFormat="1" applyFont="1" applyFill="1" applyBorder="1" applyProtection="1">
      <protection locked="0"/>
    </xf>
    <xf numFmtId="164" fontId="2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/>
    <xf numFmtId="165" fontId="2" fillId="0" borderId="0" xfId="2" applyNumberFormat="1" applyFont="1" applyFill="1" applyBorder="1" applyAlignment="1">
      <alignment vertical="center"/>
    </xf>
    <xf numFmtId="165" fontId="2" fillId="0" borderId="10" xfId="2" applyNumberFormat="1" applyFont="1" applyFill="1" applyBorder="1" applyAlignment="1">
      <alignment vertical="center"/>
    </xf>
    <xf numFmtId="165" fontId="2" fillId="0" borderId="11" xfId="2" applyNumberFormat="1" applyFont="1" applyFill="1" applyBorder="1" applyAlignment="1">
      <alignment vertical="center"/>
    </xf>
    <xf numFmtId="165" fontId="2" fillId="0" borderId="24" xfId="2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165" fontId="2" fillId="0" borderId="0" xfId="2" applyNumberFormat="1" applyFont="1" applyBorder="1" applyAlignment="1">
      <alignment vertical="center"/>
    </xf>
    <xf numFmtId="164" fontId="4" fillId="0" borderId="0" xfId="1" quotePrefix="1" applyNumberFormat="1" applyFont="1" applyBorder="1" applyAlignment="1">
      <alignment horizontal="left" vertical="center"/>
    </xf>
    <xf numFmtId="10" fontId="2" fillId="0" borderId="0" xfId="2" applyNumberFormat="1" applyFont="1" applyBorder="1" applyAlignment="1">
      <alignment vertical="center"/>
    </xf>
    <xf numFmtId="0" fontId="5" fillId="0" borderId="0" xfId="0" applyFont="1" applyAlignment="1">
      <alignment horizontal="centerContinuous"/>
    </xf>
    <xf numFmtId="0" fontId="4" fillId="0" borderId="0" xfId="0" applyFont="1"/>
    <xf numFmtId="0" fontId="4" fillId="0" borderId="2" xfId="0" applyFont="1" applyBorder="1"/>
    <xf numFmtId="164" fontId="2" fillId="0" borderId="10" xfId="1" applyNumberFormat="1" applyFont="1" applyFill="1" applyBorder="1" applyProtection="1">
      <protection locked="0"/>
    </xf>
    <xf numFmtId="164" fontId="2" fillId="0" borderId="10" xfId="1" quotePrefix="1" applyNumberFormat="1" applyFont="1" applyFill="1" applyBorder="1" applyAlignment="1" applyProtection="1">
      <alignment horizontal="left"/>
      <protection locked="0"/>
    </xf>
    <xf numFmtId="164" fontId="2" fillId="0" borderId="10" xfId="1" applyNumberFormat="1" applyFont="1" applyFill="1" applyBorder="1" applyAlignment="1" applyProtection="1">
      <alignment horizontal="left"/>
      <protection locked="0"/>
    </xf>
    <xf numFmtId="164" fontId="2" fillId="0" borderId="12" xfId="1" applyNumberFormat="1" applyFont="1" applyFill="1" applyBorder="1" applyProtection="1">
      <protection locked="0"/>
    </xf>
    <xf numFmtId="164" fontId="2" fillId="0" borderId="14" xfId="1" applyNumberFormat="1" applyFont="1" applyFill="1" applyBorder="1" applyAlignment="1" applyProtection="1">
      <alignment horizontal="left"/>
      <protection locked="0"/>
    </xf>
    <xf numFmtId="164" fontId="2" fillId="0" borderId="16" xfId="1" applyNumberFormat="1" applyFont="1" applyFill="1" applyBorder="1" applyAlignment="1"/>
    <xf numFmtId="164" fontId="2" fillId="0" borderId="12" xfId="1" quotePrefix="1" applyNumberFormat="1" applyFont="1" applyFill="1" applyBorder="1" applyAlignment="1" applyProtection="1">
      <alignment horizontal="left"/>
      <protection locked="0"/>
    </xf>
    <xf numFmtId="164" fontId="2" fillId="0" borderId="16" xfId="1" applyNumberFormat="1" applyFont="1" applyFill="1" applyBorder="1" applyAlignment="1">
      <alignment vertical="center"/>
    </xf>
    <xf numFmtId="164" fontId="2" fillId="0" borderId="10" xfId="0" applyNumberFormat="1" applyFont="1" applyFill="1" applyBorder="1"/>
    <xf numFmtId="164" fontId="2" fillId="0" borderId="10" xfId="1" applyNumberFormat="1" applyFont="1" applyFill="1" applyBorder="1"/>
    <xf numFmtId="165" fontId="2" fillId="0" borderId="0" xfId="2" applyNumberFormat="1" applyFont="1"/>
    <xf numFmtId="165" fontId="2" fillId="0" borderId="2" xfId="2" applyNumberFormat="1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0" xfId="0" quotePrefix="1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2" xfId="0" applyFont="1" applyBorder="1"/>
    <xf numFmtId="165" fontId="2" fillId="0" borderId="0" xfId="2" quotePrefix="1" applyNumberFormat="1" applyFont="1"/>
    <xf numFmtId="10" fontId="2" fillId="0" borderId="0" xfId="2" applyNumberFormat="1" applyFont="1"/>
    <xf numFmtId="165" fontId="2" fillId="0" borderId="3" xfId="2" quotePrefix="1" applyNumberFormat="1" applyFont="1" applyBorder="1"/>
    <xf numFmtId="165" fontId="2" fillId="0" borderId="0" xfId="2" quotePrefix="1" applyNumberFormat="1" applyFont="1" applyBorder="1"/>
    <xf numFmtId="0" fontId="2" fillId="0" borderId="0" xfId="0" quotePrefix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164" fontId="4" fillId="0" borderId="0" xfId="1" applyNumberFormat="1" applyFont="1" applyAlignment="1"/>
    <xf numFmtId="0" fontId="6" fillId="0" borderId="0" xfId="0" applyFont="1" applyAlignment="1">
      <alignment horizontal="centerContinuous"/>
    </xf>
    <xf numFmtId="0" fontId="4" fillId="0" borderId="2" xfId="0" applyFont="1" applyBorder="1" applyAlignment="1">
      <alignment horizontal="center"/>
    </xf>
    <xf numFmtId="164" fontId="8" fillId="0" borderId="0" xfId="1" applyNumberFormat="1" applyFont="1" applyAlignment="1">
      <alignment horizontal="left"/>
    </xf>
    <xf numFmtId="0" fontId="2" fillId="0" borderId="0" xfId="3" applyFont="1" applyAlignment="1">
      <alignment horizontal="right"/>
    </xf>
    <xf numFmtId="164" fontId="3" fillId="0" borderId="0" xfId="1" applyNumberFormat="1" applyFont="1"/>
    <xf numFmtId="164" fontId="3" fillId="0" borderId="0" xfId="1" applyNumberFormat="1" applyFont="1" applyFill="1"/>
    <xf numFmtId="0" fontId="3" fillId="0" borderId="0" xfId="0" applyFont="1"/>
    <xf numFmtId="0" fontId="3" fillId="0" borderId="0" xfId="0" applyFont="1" applyFill="1"/>
    <xf numFmtId="164" fontId="3" fillId="0" borderId="2" xfId="1" applyNumberFormat="1" applyFont="1" applyFill="1" applyBorder="1"/>
    <xf numFmtId="43" fontId="3" fillId="0" borderId="0" xfId="0" applyNumberFormat="1" applyFont="1" applyFill="1"/>
    <xf numFmtId="164" fontId="2" fillId="0" borderId="0" xfId="1" quotePrefix="1" applyNumberFormat="1" applyFont="1" applyFill="1" applyBorder="1" applyAlignment="1" applyProtection="1">
      <alignment horizontal="center"/>
      <protection locked="0"/>
    </xf>
    <xf numFmtId="164" fontId="2" fillId="0" borderId="11" xfId="1" quotePrefix="1" applyNumberFormat="1" applyFont="1" applyFill="1" applyBorder="1" applyAlignment="1" applyProtection="1">
      <alignment horizontal="center"/>
      <protection locked="0"/>
    </xf>
    <xf numFmtId="164" fontId="2" fillId="0" borderId="24" xfId="1" quotePrefix="1" applyNumberFormat="1" applyFont="1" applyFill="1" applyBorder="1" applyAlignment="1" applyProtection="1">
      <alignment horizontal="center"/>
      <protection locked="0"/>
    </xf>
    <xf numFmtId="164" fontId="2" fillId="0" borderId="10" xfId="1" quotePrefix="1" applyNumberFormat="1" applyFont="1" applyFill="1" applyBorder="1" applyAlignment="1" applyProtection="1">
      <alignment horizontal="center"/>
      <protection locked="0"/>
    </xf>
    <xf numFmtId="164" fontId="2" fillId="0" borderId="11" xfId="1" applyNumberFormat="1" applyFont="1" applyFill="1" applyBorder="1" applyProtection="1">
      <protection locked="0"/>
    </xf>
    <xf numFmtId="164" fontId="2" fillId="0" borderId="24" xfId="1" applyNumberFormat="1" applyFont="1" applyFill="1" applyBorder="1" applyProtection="1">
      <protection locked="0"/>
    </xf>
    <xf numFmtId="164" fontId="2" fillId="0" borderId="0" xfId="1" quotePrefix="1" applyNumberFormat="1" applyFont="1" applyFill="1" applyBorder="1" applyAlignment="1" applyProtection="1">
      <alignment horizontal="left"/>
      <protection locked="0"/>
    </xf>
    <xf numFmtId="164" fontId="2" fillId="0" borderId="11" xfId="1" quotePrefix="1" applyNumberFormat="1" applyFont="1" applyFill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left"/>
      <protection locked="0"/>
    </xf>
    <xf numFmtId="164" fontId="2" fillId="0" borderId="11" xfId="1" applyNumberFormat="1" applyFont="1" applyFill="1" applyBorder="1" applyAlignment="1" applyProtection="1">
      <alignment horizontal="left"/>
      <protection locked="0"/>
    </xf>
    <xf numFmtId="164" fontId="2" fillId="0" borderId="1" xfId="1" applyNumberFormat="1" applyFont="1" applyFill="1" applyBorder="1" applyProtection="1">
      <protection locked="0"/>
    </xf>
    <xf numFmtId="164" fontId="2" fillId="0" borderId="13" xfId="1" applyNumberFormat="1" applyFont="1" applyFill="1" applyBorder="1" applyProtection="1">
      <protection locked="0"/>
    </xf>
    <xf numFmtId="164" fontId="2" fillId="0" borderId="11" xfId="1" applyNumberFormat="1" applyFont="1" applyFill="1" applyBorder="1"/>
    <xf numFmtId="164" fontId="2" fillId="0" borderId="2" xfId="1" applyNumberFormat="1" applyFont="1" applyFill="1" applyBorder="1" applyAlignment="1" applyProtection="1">
      <alignment horizontal="left"/>
      <protection locked="0"/>
    </xf>
    <xf numFmtId="164" fontId="2" fillId="0" borderId="2" xfId="1" quotePrefix="1" applyNumberFormat="1" applyFont="1" applyFill="1" applyBorder="1" applyAlignment="1" applyProtection="1">
      <alignment horizontal="left"/>
      <protection locked="0"/>
    </xf>
    <xf numFmtId="164" fontId="2" fillId="0" borderId="15" xfId="1" applyNumberFormat="1" applyFont="1" applyFill="1" applyBorder="1" applyAlignment="1" applyProtection="1">
      <alignment horizontal="left"/>
      <protection locked="0"/>
    </xf>
    <xf numFmtId="164" fontId="2" fillId="0" borderId="24" xfId="1" quotePrefix="1" applyNumberFormat="1" applyFont="1" applyFill="1" applyBorder="1" applyAlignment="1" applyProtection="1">
      <alignment horizontal="left"/>
      <protection locked="0"/>
    </xf>
    <xf numFmtId="164" fontId="2" fillId="0" borderId="3" xfId="1" applyNumberFormat="1" applyFont="1" applyFill="1" applyBorder="1" applyAlignment="1"/>
    <xf numFmtId="164" fontId="2" fillId="0" borderId="17" xfId="1" applyNumberFormat="1" applyFont="1" applyFill="1" applyBorder="1" applyAlignment="1"/>
    <xf numFmtId="164" fontId="2" fillId="0" borderId="1" xfId="1" quotePrefix="1" applyNumberFormat="1" applyFont="1" applyFill="1" applyBorder="1" applyAlignment="1" applyProtection="1">
      <alignment horizontal="left"/>
      <protection locked="0"/>
    </xf>
    <xf numFmtId="164" fontId="2" fillId="0" borderId="13" xfId="1" quotePrefix="1" applyNumberFormat="1" applyFont="1" applyFill="1" applyBorder="1" applyAlignment="1" applyProtection="1">
      <alignment horizontal="left"/>
      <protection locked="0"/>
    </xf>
    <xf numFmtId="164" fontId="2" fillId="0" borderId="3" xfId="1" applyNumberFormat="1" applyFont="1" applyFill="1" applyBorder="1" applyAlignment="1">
      <alignment vertical="center"/>
    </xf>
    <xf numFmtId="164" fontId="2" fillId="0" borderId="0" xfId="0" applyNumberFormat="1" applyFont="1" applyFill="1" applyBorder="1"/>
    <xf numFmtId="164" fontId="2" fillId="0" borderId="14" xfId="1" quotePrefix="1" applyNumberFormat="1" applyFont="1" applyFill="1" applyBorder="1" applyAlignment="1" applyProtection="1">
      <alignment horizontal="left"/>
      <protection locked="0"/>
    </xf>
    <xf numFmtId="164" fontId="2" fillId="0" borderId="15" xfId="1" quotePrefix="1" applyNumberFormat="1" applyFont="1" applyFill="1" applyBorder="1" applyAlignment="1" applyProtection="1">
      <alignment horizontal="left"/>
      <protection locked="0"/>
    </xf>
    <xf numFmtId="164" fontId="2" fillId="0" borderId="19" xfId="1" applyNumberFormat="1" applyFont="1" applyFill="1" applyBorder="1" applyProtection="1">
      <protection locked="0"/>
    </xf>
    <xf numFmtId="164" fontId="2" fillId="0" borderId="20" xfId="1" applyNumberFormat="1" applyFont="1" applyFill="1" applyBorder="1" applyProtection="1">
      <protection locked="0"/>
    </xf>
    <xf numFmtId="164" fontId="2" fillId="0" borderId="18" xfId="1" applyNumberFormat="1" applyFont="1" applyFill="1" applyBorder="1" applyProtection="1">
      <protection locked="0"/>
    </xf>
    <xf numFmtId="164" fontId="4" fillId="0" borderId="10" xfId="1" applyNumberFormat="1" applyFont="1" applyFill="1" applyBorder="1" applyAlignment="1" applyProtection="1">
      <alignment horizontal="center" wrapText="1"/>
      <protection locked="0"/>
    </xf>
    <xf numFmtId="164" fontId="4" fillId="0" borderId="11" xfId="1" applyNumberFormat="1" applyFont="1" applyFill="1" applyBorder="1" applyAlignment="1" applyProtection="1">
      <alignment horizontal="center" wrapText="1"/>
      <protection locked="0"/>
    </xf>
    <xf numFmtId="164" fontId="4" fillId="0" borderId="0" xfId="1" applyNumberFormat="1" applyFont="1" applyFill="1" applyBorder="1" applyAlignment="1" applyProtection="1">
      <alignment horizontal="center" wrapText="1"/>
      <protection locked="0"/>
    </xf>
    <xf numFmtId="0" fontId="12" fillId="0" borderId="0" xfId="6" applyFont="1"/>
    <xf numFmtId="0" fontId="13" fillId="0" borderId="0" xfId="6" applyFont="1"/>
    <xf numFmtId="0" fontId="3" fillId="0" borderId="0" xfId="6" applyFont="1"/>
    <xf numFmtId="0" fontId="3" fillId="0" borderId="0" xfId="6" applyFont="1" applyAlignment="1">
      <alignment horizontal="left"/>
    </xf>
    <xf numFmtId="0" fontId="12" fillId="0" borderId="0" xfId="6" quotePrefix="1" applyFont="1"/>
    <xf numFmtId="0" fontId="4" fillId="0" borderId="0" xfId="6" quotePrefix="1" applyFont="1"/>
    <xf numFmtId="0" fontId="9" fillId="0" borderId="0" xfId="6" applyFont="1"/>
    <xf numFmtId="0" fontId="9" fillId="0" borderId="2" xfId="6" applyFont="1" applyBorder="1" applyAlignment="1">
      <alignment horizontal="centerContinuous"/>
    </xf>
    <xf numFmtId="0" fontId="3" fillId="0" borderId="2" xfId="6" applyFont="1" applyBorder="1" applyAlignment="1">
      <alignment horizontal="centerContinuous"/>
    </xf>
    <xf numFmtId="0" fontId="15" fillId="0" borderId="2" xfId="6" applyFont="1" applyBorder="1" applyAlignment="1">
      <alignment horizontal="centerContinuous"/>
    </xf>
    <xf numFmtId="0" fontId="3" fillId="0" borderId="0" xfId="6" applyFont="1" applyAlignment="1">
      <alignment horizontal="center"/>
    </xf>
    <xf numFmtId="0" fontId="9" fillId="0" borderId="0" xfId="6" applyFont="1" applyAlignment="1">
      <alignment horizontal="center"/>
    </xf>
    <xf numFmtId="17" fontId="9" fillId="0" borderId="2" xfId="6" applyNumberFormat="1" applyFont="1" applyBorder="1" applyAlignment="1">
      <alignment horizontal="center" wrapText="1"/>
    </xf>
    <xf numFmtId="17" fontId="3" fillId="0" borderId="0" xfId="6" applyNumberFormat="1" applyFont="1" applyAlignment="1">
      <alignment horizontal="center" wrapText="1"/>
    </xf>
    <xf numFmtId="0" fontId="3" fillId="0" borderId="0" xfId="6" applyFont="1" applyAlignment="1">
      <alignment vertical="center"/>
    </xf>
    <xf numFmtId="164" fontId="3" fillId="0" borderId="0" xfId="1" applyNumberFormat="1" applyFont="1" applyAlignment="1">
      <alignment vertical="center"/>
    </xf>
    <xf numFmtId="164" fontId="3" fillId="0" borderId="0" xfId="6" applyNumberFormat="1" applyFont="1"/>
    <xf numFmtId="164" fontId="3" fillId="0" borderId="1" xfId="1" applyNumberFormat="1" applyFont="1" applyBorder="1"/>
    <xf numFmtId="164" fontId="3" fillId="0" borderId="0" xfId="1" applyNumberFormat="1" applyFont="1" applyBorder="1" applyAlignment="1">
      <alignment vertical="center"/>
    </xf>
    <xf numFmtId="0" fontId="2" fillId="0" borderId="0" xfId="6"/>
    <xf numFmtId="0" fontId="3" fillId="0" borderId="0" xfId="6" applyFont="1" applyAlignment="1">
      <alignment horizontal="right" vertical="center"/>
    </xf>
    <xf numFmtId="164" fontId="3" fillId="0" borderId="2" xfId="1" applyNumberFormat="1" applyFont="1" applyBorder="1"/>
    <xf numFmtId="164" fontId="3" fillId="0" borderId="4" xfId="1" applyNumberFormat="1" applyFont="1" applyBorder="1" applyAlignment="1">
      <alignment vertical="center"/>
    </xf>
    <xf numFmtId="164" fontId="3" fillId="0" borderId="1" xfId="6" applyNumberFormat="1" applyFont="1" applyBorder="1"/>
    <xf numFmtId="0" fontId="3" fillId="0" borderId="0" xfId="6" applyFont="1" applyAlignment="1"/>
    <xf numFmtId="164" fontId="3" fillId="0" borderId="3" xfId="6" applyNumberFormat="1" applyFont="1" applyBorder="1"/>
    <xf numFmtId="164" fontId="3" fillId="0" borderId="0" xfId="1" applyNumberFormat="1" applyFont="1" applyBorder="1" applyAlignment="1"/>
    <xf numFmtId="165" fontId="3" fillId="0" borderId="0" xfId="2" applyNumberFormat="1" applyFont="1" applyAlignment="1">
      <alignment vertical="center"/>
    </xf>
    <xf numFmtId="164" fontId="3" fillId="0" borderId="0" xfId="1" quotePrefix="1" applyNumberFormat="1" applyFont="1"/>
    <xf numFmtId="0" fontId="3" fillId="0" borderId="0" xfId="6" quotePrefix="1" applyFont="1" applyAlignment="1">
      <alignment horizontal="left" vertical="center"/>
    </xf>
    <xf numFmtId="164" fontId="3" fillId="0" borderId="2" xfId="6" applyNumberFormat="1" applyFont="1" applyBorder="1"/>
    <xf numFmtId="164" fontId="3" fillId="0" borderId="0" xfId="1" applyNumberFormat="1" applyFont="1" applyBorder="1"/>
    <xf numFmtId="164" fontId="3" fillId="0" borderId="0" xfId="6" applyNumberFormat="1" applyFont="1" applyBorder="1"/>
    <xf numFmtId="164" fontId="3" fillId="0" borderId="2" xfId="1" applyNumberFormat="1" applyFont="1" applyBorder="1" applyAlignment="1">
      <alignment vertical="center"/>
    </xf>
    <xf numFmtId="164" fontId="3" fillId="0" borderId="5" xfId="6" applyNumberFormat="1" applyFont="1" applyBorder="1"/>
    <xf numFmtId="0" fontId="3" fillId="0" borderId="5" xfId="6" applyFont="1" applyBorder="1"/>
    <xf numFmtId="164" fontId="3" fillId="0" borderId="5" xfId="1" applyNumberFormat="1" applyFont="1" applyBorder="1" applyAlignment="1">
      <alignment vertical="center"/>
    </xf>
    <xf numFmtId="0" fontId="3" fillId="0" borderId="0" xfId="6" applyFont="1" applyFill="1" applyAlignment="1">
      <alignment vertical="center"/>
    </xf>
    <xf numFmtId="10" fontId="3" fillId="0" borderId="0" xfId="2" applyNumberFormat="1" applyFont="1" applyFill="1"/>
    <xf numFmtId="10" fontId="3" fillId="0" borderId="0" xfId="2" applyNumberFormat="1" applyFont="1" applyFill="1" applyAlignment="1">
      <alignment vertical="center"/>
    </xf>
    <xf numFmtId="10" fontId="3" fillId="0" borderId="0" xfId="6" applyNumberFormat="1" applyFont="1" applyFill="1"/>
    <xf numFmtId="0" fontId="3" fillId="0" borderId="0" xfId="6" applyFont="1" applyFill="1"/>
    <xf numFmtId="164" fontId="3" fillId="0" borderId="4" xfId="6" applyNumberFormat="1" applyFont="1" applyBorder="1"/>
    <xf numFmtId="164" fontId="3" fillId="0" borderId="4" xfId="1" applyNumberFormat="1" applyFont="1" applyBorder="1"/>
    <xf numFmtId="164" fontId="4" fillId="0" borderId="0" xfId="1" applyNumberFormat="1" applyFont="1" applyFill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164" fontId="8" fillId="0" borderId="0" xfId="1" applyNumberFormat="1" applyFont="1" applyFill="1" applyBorder="1" applyAlignment="1">
      <alignment horizontal="left"/>
    </xf>
    <xf numFmtId="164" fontId="4" fillId="0" borderId="0" xfId="1" applyNumberFormat="1" applyFont="1" applyFill="1"/>
    <xf numFmtId="164" fontId="4" fillId="0" borderId="0" xfId="1" applyNumberFormat="1" applyFont="1" applyFill="1" applyAlignment="1">
      <alignment vertical="center"/>
    </xf>
    <xf numFmtId="164" fontId="2" fillId="0" borderId="25" xfId="1" applyNumberFormat="1" applyFont="1" applyFill="1" applyBorder="1" applyProtection="1">
      <protection locked="0"/>
    </xf>
    <xf numFmtId="164" fontId="2" fillId="0" borderId="26" xfId="1" applyNumberFormat="1" applyFont="1" applyFill="1" applyBorder="1" applyAlignment="1"/>
    <xf numFmtId="164" fontId="2" fillId="0" borderId="25" xfId="1" quotePrefix="1" applyNumberFormat="1" applyFont="1" applyFill="1" applyBorder="1" applyAlignment="1" applyProtection="1">
      <alignment horizontal="left"/>
      <protection locked="0"/>
    </xf>
    <xf numFmtId="164" fontId="2" fillId="0" borderId="26" xfId="1" applyNumberFormat="1" applyFont="1" applyFill="1" applyBorder="1" applyAlignment="1">
      <alignment vertical="center"/>
    </xf>
    <xf numFmtId="164" fontId="2" fillId="0" borderId="17" xfId="1" applyNumberFormat="1" applyFont="1" applyFill="1" applyBorder="1" applyAlignment="1">
      <alignment vertical="center"/>
    </xf>
    <xf numFmtId="164" fontId="2" fillId="0" borderId="24" xfId="0" applyNumberFormat="1" applyFont="1" applyFill="1" applyBorder="1"/>
    <xf numFmtId="164" fontId="2" fillId="0" borderId="11" xfId="0" applyNumberFormat="1" applyFont="1" applyFill="1" applyBorder="1"/>
    <xf numFmtId="164" fontId="2" fillId="0" borderId="24" xfId="1" applyNumberFormat="1" applyFont="1" applyFill="1" applyBorder="1"/>
    <xf numFmtId="0" fontId="2" fillId="0" borderId="0" xfId="0" applyFont="1" applyFill="1" applyBorder="1"/>
    <xf numFmtId="164" fontId="4" fillId="0" borderId="0" xfId="1" quotePrefix="1" applyNumberFormat="1" applyFont="1" applyFill="1" applyBorder="1" applyAlignment="1">
      <alignment horizontal="left" vertical="center"/>
    </xf>
    <xf numFmtId="164" fontId="2" fillId="0" borderId="10" xfId="1" applyNumberFormat="1" applyFont="1" applyFill="1" applyBorder="1" applyAlignment="1">
      <alignment vertical="center"/>
    </xf>
    <xf numFmtId="164" fontId="2" fillId="0" borderId="11" xfId="1" applyNumberFormat="1" applyFont="1" applyFill="1" applyBorder="1" applyAlignment="1">
      <alignment vertical="center"/>
    </xf>
    <xf numFmtId="0" fontId="2" fillId="0" borderId="0" xfId="3" applyFont="1" applyFill="1" applyAlignment="1">
      <alignment horizontal="right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164" fontId="9" fillId="0" borderId="0" xfId="1" applyNumberFormat="1" applyFont="1" applyFill="1"/>
    <xf numFmtId="2" fontId="3" fillId="0" borderId="0" xfId="0" applyNumberFormat="1" applyFont="1" applyFill="1" applyAlignment="1">
      <alignment horizontal="center"/>
    </xf>
    <xf numFmtId="164" fontId="3" fillId="0" borderId="0" xfId="1" applyNumberFormat="1" applyFont="1" applyFill="1" applyBorder="1"/>
    <xf numFmtId="164" fontId="9" fillId="0" borderId="0" xfId="1" applyNumberFormat="1" applyFont="1" applyFill="1" applyBorder="1"/>
    <xf numFmtId="0" fontId="9" fillId="0" borderId="0" xfId="0" applyFont="1" applyFill="1" applyBorder="1"/>
    <xf numFmtId="0" fontId="11" fillId="0" borderId="0" xfId="0" applyFont="1" applyFill="1" applyAlignment="1">
      <alignment horizontal="left"/>
    </xf>
    <xf numFmtId="0" fontId="10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4" fontId="9" fillId="0" borderId="1" xfId="0" applyNumberFormat="1" applyFont="1" applyBorder="1"/>
    <xf numFmtId="0" fontId="9" fillId="0" borderId="0" xfId="0" applyFont="1" applyFill="1" applyAlignment="1">
      <alignment horizontal="center"/>
    </xf>
    <xf numFmtId="165" fontId="2" fillId="0" borderId="6" xfId="2" applyNumberFormat="1" applyFont="1" applyFill="1" applyBorder="1"/>
    <xf numFmtId="165" fontId="2" fillId="0" borderId="0" xfId="2" applyNumberFormat="1" applyFont="1" applyFill="1" applyBorder="1"/>
    <xf numFmtId="165" fontId="2" fillId="0" borderId="7" xfId="2" applyNumberFormat="1" applyFont="1" applyFill="1" applyBorder="1"/>
    <xf numFmtId="165" fontId="2" fillId="0" borderId="2" xfId="2" applyNumberFormat="1" applyFont="1" applyFill="1" applyBorder="1"/>
    <xf numFmtId="165" fontId="2" fillId="0" borderId="0" xfId="2" applyNumberFormat="1" applyFont="1" applyFill="1"/>
    <xf numFmtId="164" fontId="2" fillId="0" borderId="2" xfId="1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164" fontId="2" fillId="0" borderId="5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3" fillId="0" borderId="0" xfId="0" quotePrefix="1" applyNumberFormat="1" applyFont="1" applyFill="1" applyAlignment="1">
      <alignment horizontal="center"/>
    </xf>
    <xf numFmtId="0" fontId="17" fillId="0" borderId="0" xfId="3" applyFont="1"/>
    <xf numFmtId="0" fontId="2" fillId="0" borderId="0" xfId="3" applyFont="1" applyAlignment="1">
      <alignment horizontal="center" wrapText="1"/>
    </xf>
    <xf numFmtId="0" fontId="2" fillId="0" borderId="0" xfId="3" applyFont="1"/>
    <xf numFmtId="164" fontId="2" fillId="0" borderId="0" xfId="4" applyNumberFormat="1" applyFont="1"/>
    <xf numFmtId="164" fontId="2" fillId="0" borderId="1" xfId="4" applyNumberFormat="1" applyFont="1" applyBorder="1"/>
    <xf numFmtId="164" fontId="2" fillId="0" borderId="2" xfId="4" applyNumberFormat="1" applyFont="1" applyBorder="1"/>
    <xf numFmtId="164" fontId="2" fillId="0" borderId="0" xfId="3" applyNumberFormat="1" applyFont="1"/>
    <xf numFmtId="0" fontId="2" fillId="0" borderId="0" xfId="3" quotePrefix="1" applyFont="1" applyAlignment="1">
      <alignment horizontal="left"/>
    </xf>
    <xf numFmtId="164" fontId="2" fillId="0" borderId="1" xfId="3" applyNumberFormat="1" applyFont="1" applyBorder="1"/>
    <xf numFmtId="164" fontId="2" fillId="0" borderId="3" xfId="3" applyNumberFormat="1" applyFont="1" applyBorder="1"/>
    <xf numFmtId="10" fontId="2" fillId="0" borderId="0" xfId="5" quotePrefix="1" applyNumberFormat="1" applyFont="1" applyAlignment="1">
      <alignment horizontal="left"/>
    </xf>
    <xf numFmtId="10" fontId="2" fillId="0" borderId="0" xfId="5" applyNumberFormat="1" applyFont="1"/>
    <xf numFmtId="0" fontId="2" fillId="0" borderId="0" xfId="3" applyFont="1" applyFill="1" applyBorder="1" applyAlignment="1">
      <alignment vertical="center"/>
    </xf>
    <xf numFmtId="164" fontId="2" fillId="0" borderId="0" xfId="4" quotePrefix="1" applyNumberFormat="1" applyFont="1"/>
    <xf numFmtId="164" fontId="2" fillId="0" borderId="2" xfId="3" applyNumberFormat="1" applyFont="1" applyBorder="1"/>
    <xf numFmtId="164" fontId="2" fillId="0" borderId="0" xfId="4" applyNumberFormat="1" applyFont="1" applyBorder="1"/>
    <xf numFmtId="164" fontId="2" fillId="0" borderId="0" xfId="3" applyNumberFormat="1" applyFont="1" applyBorder="1"/>
    <xf numFmtId="164" fontId="2" fillId="0" borderId="5" xfId="3" applyNumberFormat="1" applyFont="1" applyBorder="1"/>
    <xf numFmtId="0" fontId="17" fillId="0" borderId="0" xfId="3" applyFont="1" applyFill="1"/>
    <xf numFmtId="0" fontId="2" fillId="0" borderId="0" xfId="3" applyFont="1" applyFill="1" applyAlignment="1">
      <alignment horizontal="center" wrapText="1"/>
    </xf>
    <xf numFmtId="0" fontId="2" fillId="0" borderId="0" xfId="3" applyFont="1" applyFill="1"/>
    <xf numFmtId="164" fontId="2" fillId="0" borderId="0" xfId="4" applyNumberFormat="1" applyFont="1" applyFill="1"/>
    <xf numFmtId="164" fontId="2" fillId="0" borderId="1" xfId="4" applyNumberFormat="1" applyFont="1" applyFill="1" applyBorder="1"/>
    <xf numFmtId="164" fontId="2" fillId="0" borderId="0" xfId="4" applyNumberFormat="1" applyFont="1" applyFill="1" applyBorder="1"/>
    <xf numFmtId="164" fontId="2" fillId="0" borderId="4" xfId="3" applyNumberFormat="1" applyFont="1" applyFill="1" applyBorder="1"/>
    <xf numFmtId="0" fontId="2" fillId="0" borderId="0" xfId="3" quotePrefix="1" applyFont="1" applyFill="1" applyAlignment="1">
      <alignment horizontal="left"/>
    </xf>
    <xf numFmtId="164" fontId="2" fillId="0" borderId="1" xfId="3" applyNumberFormat="1" applyFont="1" applyFill="1" applyBorder="1"/>
    <xf numFmtId="164" fontId="2" fillId="0" borderId="3" xfId="3" applyNumberFormat="1" applyFont="1" applyFill="1" applyBorder="1"/>
    <xf numFmtId="164" fontId="2" fillId="0" borderId="2" xfId="4" applyNumberFormat="1" applyFont="1" applyFill="1" applyBorder="1"/>
    <xf numFmtId="10" fontId="2" fillId="0" borderId="0" xfId="5" quotePrefix="1" applyNumberFormat="1" applyFont="1" applyFill="1" applyAlignment="1">
      <alignment horizontal="left"/>
    </xf>
    <xf numFmtId="10" fontId="2" fillId="0" borderId="0" xfId="5" applyNumberFormat="1" applyFont="1" applyFill="1"/>
    <xf numFmtId="164" fontId="2" fillId="0" borderId="0" xfId="4" quotePrefix="1" applyNumberFormat="1" applyFont="1" applyFill="1"/>
    <xf numFmtId="164" fontId="2" fillId="0" borderId="0" xfId="3" applyNumberFormat="1" applyFont="1" applyFill="1"/>
    <xf numFmtId="164" fontId="2" fillId="0" borderId="0" xfId="3" applyNumberFormat="1" applyFont="1" applyFill="1" applyBorder="1"/>
    <xf numFmtId="164" fontId="2" fillId="0" borderId="4" xfId="4" applyNumberFormat="1" applyFont="1" applyFill="1" applyBorder="1"/>
    <xf numFmtId="164" fontId="2" fillId="0" borderId="5" xfId="3" applyNumberFormat="1" applyFont="1" applyFill="1" applyBorder="1"/>
    <xf numFmtId="164" fontId="2" fillId="0" borderId="2" xfId="3" applyNumberFormat="1" applyFont="1" applyFill="1" applyBorder="1"/>
    <xf numFmtId="164" fontId="17" fillId="0" borderId="0" xfId="1" applyNumberFormat="1" applyFont="1" applyFill="1"/>
    <xf numFmtId="0" fontId="3" fillId="0" borderId="0" xfId="6" applyFont="1" applyBorder="1" applyAlignment="1">
      <alignment horizontal="centerContinuous"/>
    </xf>
    <xf numFmtId="0" fontId="15" fillId="0" borderId="0" xfId="6" applyFont="1" applyBorder="1" applyAlignment="1">
      <alignment horizontal="centerContinuous"/>
    </xf>
    <xf numFmtId="0" fontId="3" fillId="0" borderId="0" xfId="6" applyFont="1" applyBorder="1" applyAlignment="1">
      <alignment horizontal="center"/>
    </xf>
    <xf numFmtId="0" fontId="9" fillId="0" borderId="0" xfId="6" applyFont="1" applyBorder="1" applyAlignment="1">
      <alignment horizontal="centerContinuous"/>
    </xf>
    <xf numFmtId="0" fontId="3" fillId="0" borderId="2" xfId="6" applyFont="1" applyBorder="1"/>
    <xf numFmtId="165" fontId="4" fillId="0" borderId="0" xfId="2" applyNumberFormat="1" applyFont="1" applyFill="1" applyBorder="1" applyAlignment="1">
      <alignment vertical="center"/>
    </xf>
    <xf numFmtId="10" fontId="2" fillId="0" borderId="6" xfId="2" applyNumberFormat="1" applyFont="1" applyBorder="1"/>
    <xf numFmtId="10" fontId="2" fillId="0" borderId="7" xfId="2" applyNumberFormat="1" applyFont="1" applyBorder="1"/>
    <xf numFmtId="10" fontId="2" fillId="0" borderId="8" xfId="0" applyNumberFormat="1" applyFont="1" applyBorder="1"/>
    <xf numFmtId="0" fontId="18" fillId="0" borderId="0" xfId="0" applyFont="1" applyFill="1" applyAlignment="1">
      <alignment horizontal="centerContinuous"/>
    </xf>
    <xf numFmtId="0" fontId="19" fillId="0" borderId="0" xfId="0" applyFont="1" applyFill="1"/>
    <xf numFmtId="164" fontId="19" fillId="0" borderId="0" xfId="1" applyNumberFormat="1" applyFont="1" applyFill="1"/>
    <xf numFmtId="0" fontId="3" fillId="0" borderId="0" xfId="0" applyFont="1" applyFill="1" applyProtection="1">
      <protection locked="0"/>
    </xf>
    <xf numFmtId="0" fontId="7" fillId="0" borderId="0" xfId="0" applyFont="1"/>
    <xf numFmtId="0" fontId="19" fillId="0" borderId="2" xfId="0" applyFont="1" applyFill="1" applyBorder="1" applyAlignment="1">
      <alignment horizontal="center" vertical="center" wrapText="1"/>
    </xf>
    <xf numFmtId="0" fontId="14" fillId="0" borderId="0" xfId="6" applyFont="1" applyBorder="1"/>
    <xf numFmtId="0" fontId="3" fillId="0" borderId="0" xfId="6" applyFont="1" applyBorder="1"/>
    <xf numFmtId="0" fontId="14" fillId="0" borderId="0" xfId="6" applyFont="1" applyBorder="1" applyAlignment="1">
      <alignment horizontal="center"/>
    </xf>
    <xf numFmtId="17" fontId="16" fillId="0" borderId="0" xfId="6" applyNumberFormat="1" applyFont="1" applyBorder="1" applyAlignment="1">
      <alignment horizontal="center" wrapText="1"/>
    </xf>
    <xf numFmtId="164" fontId="14" fillId="0" borderId="0" xfId="6" applyNumberFormat="1" applyFont="1" applyBorder="1"/>
    <xf numFmtId="164" fontId="14" fillId="0" borderId="0" xfId="1" applyNumberFormat="1" applyFont="1" applyBorder="1"/>
    <xf numFmtId="164" fontId="14" fillId="0" borderId="0" xfId="1" applyNumberFormat="1" applyFont="1" applyBorder="1" applyAlignment="1">
      <alignment vertical="center"/>
    </xf>
    <xf numFmtId="164" fontId="14" fillId="0" borderId="0" xfId="1" applyNumberFormat="1" applyFont="1" applyBorder="1" applyAlignment="1"/>
    <xf numFmtId="165" fontId="14" fillId="0" borderId="0" xfId="2" applyNumberFormat="1" applyFont="1" applyFill="1" applyBorder="1"/>
    <xf numFmtId="165" fontId="14" fillId="0" borderId="0" xfId="2" applyNumberFormat="1" applyFont="1" applyBorder="1"/>
    <xf numFmtId="0" fontId="9" fillId="0" borderId="0" xfId="6" applyFont="1" applyAlignment="1">
      <alignment horizontal="right"/>
    </xf>
    <xf numFmtId="0" fontId="3" fillId="0" borderId="0" xfId="6" applyFont="1" applyAlignment="1">
      <alignment horizontal="right"/>
    </xf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164" fontId="2" fillId="0" borderId="28" xfId="1" quotePrefix="1" applyNumberFormat="1" applyFont="1" applyFill="1" applyBorder="1" applyAlignment="1" applyProtection="1">
      <alignment horizontal="center"/>
      <protection locked="0"/>
    </xf>
    <xf numFmtId="164" fontId="2" fillId="0" borderId="29" xfId="1" quotePrefix="1" applyNumberFormat="1" applyFont="1" applyFill="1" applyBorder="1" applyAlignment="1" applyProtection="1">
      <alignment horizontal="center"/>
      <protection locked="0"/>
    </xf>
    <xf numFmtId="0" fontId="19" fillId="0" borderId="0" xfId="6" applyFont="1" applyBorder="1"/>
    <xf numFmtId="164" fontId="19" fillId="0" borderId="0" xfId="6" applyNumberFormat="1" applyFont="1" applyBorder="1"/>
    <xf numFmtId="165" fontId="3" fillId="0" borderId="0" xfId="2" applyNumberFormat="1" applyFont="1" applyFill="1"/>
    <xf numFmtId="166" fontId="17" fillId="0" borderId="0" xfId="3" applyNumberFormat="1" applyFont="1"/>
    <xf numFmtId="164" fontId="4" fillId="0" borderId="28" xfId="1" applyNumberFormat="1" applyFont="1" applyFill="1" applyBorder="1" applyAlignment="1">
      <alignment horizontal="center"/>
    </xf>
    <xf numFmtId="164" fontId="4" fillId="0" borderId="1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0" xfId="1" applyNumberFormat="1" applyFont="1" applyFill="1" applyBorder="1" applyAlignment="1" applyProtection="1">
      <alignment horizontal="center"/>
      <protection locked="0"/>
    </xf>
    <xf numFmtId="164" fontId="2" fillId="0" borderId="30" xfId="1" applyNumberFormat="1" applyFont="1" applyFill="1" applyBorder="1" applyProtection="1">
      <protection locked="0"/>
    </xf>
    <xf numFmtId="164" fontId="2" fillId="0" borderId="30" xfId="1" applyNumberFormat="1" applyFont="1" applyFill="1" applyBorder="1" applyAlignment="1">
      <alignment vertical="center"/>
    </xf>
    <xf numFmtId="164" fontId="2" fillId="0" borderId="18" xfId="1" applyNumberFormat="1" applyFont="1" applyFill="1" applyBorder="1"/>
    <xf numFmtId="164" fontId="4" fillId="0" borderId="31" xfId="1" applyNumberFormat="1" applyFont="1" applyFill="1" applyBorder="1" applyAlignment="1">
      <alignment horizontal="center"/>
    </xf>
    <xf numFmtId="164" fontId="4" fillId="0" borderId="24" xfId="1" applyNumberFormat="1" applyFont="1" applyFill="1" applyBorder="1" applyAlignment="1" applyProtection="1">
      <alignment horizontal="center" wrapText="1"/>
      <protection locked="0"/>
    </xf>
    <xf numFmtId="164" fontId="2" fillId="0" borderId="24" xfId="1" applyNumberFormat="1" applyFont="1" applyFill="1" applyBorder="1" applyAlignment="1" applyProtection="1">
      <alignment horizontal="left"/>
      <protection locked="0"/>
    </xf>
    <xf numFmtId="164" fontId="2" fillId="0" borderId="32" xfId="1" applyNumberFormat="1" applyFont="1" applyFill="1" applyBorder="1" applyAlignment="1" applyProtection="1">
      <alignment horizontal="left"/>
      <protection locked="0"/>
    </xf>
    <xf numFmtId="164" fontId="2" fillId="0" borderId="32" xfId="1" quotePrefix="1" applyNumberFormat="1" applyFont="1" applyFill="1" applyBorder="1" applyAlignment="1" applyProtection="1">
      <alignment horizontal="left"/>
      <protection locked="0"/>
    </xf>
    <xf numFmtId="164" fontId="2" fillId="0" borderId="24" xfId="1" applyNumberFormat="1" applyFont="1" applyFill="1" applyBorder="1" applyAlignment="1">
      <alignment vertical="center"/>
    </xf>
    <xf numFmtId="164" fontId="2" fillId="0" borderId="27" xfId="1" applyNumberFormat="1" applyFont="1" applyFill="1" applyBorder="1" applyProtection="1">
      <protection locked="0"/>
    </xf>
    <xf numFmtId="164" fontId="2" fillId="0" borderId="33" xfId="1" quotePrefix="1" applyNumberFormat="1" applyFont="1" applyFill="1" applyBorder="1" applyAlignment="1" applyProtection="1">
      <alignment horizontal="center"/>
      <protection locked="0"/>
    </xf>
    <xf numFmtId="0" fontId="9" fillId="0" borderId="2" xfId="0" applyFont="1" applyFill="1" applyBorder="1" applyAlignment="1">
      <alignment horizontal="center"/>
    </xf>
    <xf numFmtId="164" fontId="4" fillId="0" borderId="21" xfId="1" applyNumberFormat="1" applyFont="1" applyFill="1" applyBorder="1" applyAlignment="1">
      <alignment horizontal="center"/>
    </xf>
    <xf numFmtId="164" fontId="4" fillId="0" borderId="22" xfId="1" applyNumberFormat="1" applyFont="1" applyFill="1" applyBorder="1" applyAlignment="1">
      <alignment horizontal="center"/>
    </xf>
    <xf numFmtId="164" fontId="4" fillId="0" borderId="23" xfId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wrapText="1"/>
    </xf>
    <xf numFmtId="0" fontId="12" fillId="0" borderId="0" xfId="6" applyFont="1" applyAlignment="1">
      <alignment horizontal="left" wrapText="1"/>
    </xf>
    <xf numFmtId="0" fontId="13" fillId="0" borderId="0" xfId="6" applyFont="1" applyAlignment="1"/>
    <xf numFmtId="0" fontId="12" fillId="0" borderId="0" xfId="6" applyFont="1" applyAlignment="1">
      <alignment wrapText="1"/>
    </xf>
    <xf numFmtId="0" fontId="17" fillId="0" borderId="0" xfId="3" applyFont="1" applyAlignment="1">
      <alignment horizontal="center"/>
    </xf>
    <xf numFmtId="0" fontId="17" fillId="0" borderId="0" xfId="3" applyFont="1" applyFill="1" applyAlignment="1">
      <alignment horizontal="center"/>
    </xf>
  </cellXfs>
  <cellStyles count="7">
    <cellStyle name="Comma" xfId="1" builtinId="3"/>
    <cellStyle name="Comma 2" xfId="4"/>
    <cellStyle name="Normal" xfId="0" builtinId="0"/>
    <cellStyle name="Normal 2" xfId="3"/>
    <cellStyle name="Normal 3" xfId="6"/>
    <cellStyle name="Percent" xfId="2" builtinId="5"/>
    <cellStyle name="Percent 2" xfId="5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4.xml"/><Relationship Id="rId21" Type="http://schemas.openxmlformats.org/officeDocument/2006/relationships/externalLink" Target="externalLinks/externalLink9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63" Type="http://schemas.openxmlformats.org/officeDocument/2006/relationships/externalLink" Target="externalLinks/externalLink51.xml"/><Relationship Id="rId68" Type="http://schemas.openxmlformats.org/officeDocument/2006/relationships/externalLink" Target="externalLinks/externalLink5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66" Type="http://schemas.openxmlformats.org/officeDocument/2006/relationships/externalLink" Target="externalLinks/externalLink54.xml"/><Relationship Id="rId7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9.xml"/><Relationship Id="rId1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52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47.xml"/><Relationship Id="rId67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externalLink" Target="externalLinks/externalLink50.xml"/><Relationship Id="rId70" Type="http://schemas.openxmlformats.org/officeDocument/2006/relationships/styles" Target="styles.xml"/><Relationship Id="rId75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48.xml"/><Relationship Id="rId65" Type="http://schemas.openxmlformats.org/officeDocument/2006/relationships/externalLink" Target="externalLinks/externalLink53.xml"/><Relationship Id="rId73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9" Type="http://schemas.openxmlformats.org/officeDocument/2006/relationships/externalLink" Target="externalLinks/externalLink27.xml"/><Relationship Id="rId34" Type="http://schemas.openxmlformats.org/officeDocument/2006/relationships/externalLink" Target="externalLinks/externalLink22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76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d%20Models/WA%20RAM%202021%20GR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%20-%20Revenue/3-1%20-%20Temperature%20Normaliz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%20-%20Revenue/3-2%20-%20Revenue%20Normalizati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O%20M/4-10%20-%20Remove%20Non-Recurring%20Entri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3%20-%20Revenue/3-3%20-%20Wheeling%20Revenu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O%20M/4-2%20-%204-3%20%20-%20General%20Wage%20Increase%20REDACTE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5%20-%20NPC/5-3%20-%20Colstrip%203%20Remov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O%20M/4-1%20-%20Miscellaneous%20Expense%20Revenu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O%20M/4-4%20-%20Insurance%20Expens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O%20M/4-8%20-%20Legal%20Expense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5%20-%20NPC/5-1%20-%20Net%20Power%20Costs%20-%20Restating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O%20M/4-7%20-%20Revenue%20Sensitive%20Uncollectible%20Expens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O%20M/4-5%20-%20Advertising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O%20M/4-6%20-%20Memberships%20and%20Subscription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O%20M/4-11%20-%20Environmental%20Remediation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O%20M/4-12%20-%20Credit%20Facility%20Fee%20Adjustment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O%20M/4-13%20-%20Amortization%20of%20Pension%20Settlement%20Adjustment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7%20-%20Tax/7-7%20-%20WA%20Public%20Utility%20Tax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7%20-%20Tax/7-11%20-%20Removal%20of%20TCJA%20Deferred%20Balance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-7%20-%20Customer%20Service%20Deposit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-1%20-%20Bridger%20Mine%20Adjustment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-9%20-%20Removal%20of%20Bridger%20SC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-10%20-%20End-of-Period%20Plant%20Balance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-11%20-%20Idaho%20Asset%20Exchange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-5%20-%20Miscellaneous%20Rate%20Bas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-8%20-%20Investor%20Supplied%20Working%20Capital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6%20-%20Depr%20Amort/6-3%20-%20End-of-Period%20Reserves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7%20-%20Tax/7-4%20-%20ADIT%20Balance%20Adjustment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-3%20-%20Customer%20Advances%20For%20Construction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7%20-%20Tax/7-8%20-%20AFUDC%20-%20Equity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-2%20-%20Regulatory%20Asset%20and%20Liability%20Amortization%20-%20REDACTED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5%20-%20NPC/5-2%20-%20Net%20Power%20Costs%20-%20Pro%20Forma%20-%20Updated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9%20-%20Other/9.1%20-%20Production%20Factor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3%20-%20Revenue/3-4%20-%20Ancillary%20Revenue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O%20M/4-9%20-%20Payment%20Fees%20and%20Bill%20Credits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9%20-%20Other/9.4%20-%20System%20Transmission%20-%20Existing%20Adjustment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6%20-%20Depr%20Amort/6-5%20-%20Depreciation%20Study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9%20-%20Other/9.2%20-%20System%20Non-Emitting%20Resources%20Adjustment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5%20-%20NPC/5-4%20-%20REC%20Purchase%20Adjustment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5%20-%20NPC/5-5%20-%20Nodal%20Pricing%20Model%20Adjustment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-13%20-%20New%20Wind%20Generation%20Associated%20Transmission-REDACTED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-%20Depr%20Amort/6-1%20-%20Pro%20Forma%20Depreciation%20Amortization%20Expense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6%20-%20Depr%20Amort/6-4%20-%20Accelerated%20Depreciation%20-%20Colstrip%20and%20Jim%20Bridger%20-%20Updated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-6%20-%20Removal%20of%20Colstrip%204%20AFUDC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-12%20-%20Repowering%20Capital%20Additions-REDACTED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9%20-%20Other/9.3%20-%20System%20Transmission%20-%20New%20Adjustment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7%20-%20Tax/7-2%20-%20Property%20Tax%20Expense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7%20-%20Tax/7-9%20-%20WA%20Low%20Income%20Tax%20Credit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7%20-%20Tax/7-10%20-%20Wyoming%20Wind%20Generation%20Tax%20-%20Updated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7%20-%20Tax/7-6%20-%20Remove%20Deferred%20State%20Tax%20Expense%20Balance%20-%20Updated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7%20-%20Tax/7-12%20-%20Depreciation%20Study%20Adjustment%20Tax%20Impacts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-4%20-%20Pro%20Forma%20Major%20Plant%20Additions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6%20-%20Depr%20Amort/6-2%20-%20Pro%20Forma%20Depreciation%20Amortization%20Reserve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7%20-%20Tax/7-5%20-%20Permanent%20Schedule%20M%20Adjustment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7%20-%20Tax/7-3%20-%20Production%20Tax%20Credit%20-%20Updated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d%20Models/WA%20JAM%202021%20GR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Results"/>
      <sheetName val="AdjSummary"/>
      <sheetName val="TotalCompany"/>
      <sheetName val="Variables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C11">
            <v>326549201.78999996</v>
          </cell>
          <cell r="D11">
            <v>22605198.140773375</v>
          </cell>
          <cell r="G11">
            <v>349154399.93077332</v>
          </cell>
          <cell r="H11">
            <v>17418111.240000013</v>
          </cell>
          <cell r="I11">
            <v>366572511.17077333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C13">
            <v>17019166.449027743</v>
          </cell>
          <cell r="D13">
            <v>0</v>
          </cell>
          <cell r="G13">
            <v>17019166.449027743</v>
          </cell>
          <cell r="H13">
            <v>-14866338.791918496</v>
          </cell>
          <cell r="I13">
            <v>2152827.6571092475</v>
          </cell>
        </row>
        <row r="14">
          <cell r="C14">
            <v>10619467.010369893</v>
          </cell>
          <cell r="D14">
            <v>-105882.16327527266</v>
          </cell>
          <cell r="G14">
            <v>10513584.84709462</v>
          </cell>
          <cell r="H14">
            <v>1268157.0965046838</v>
          </cell>
          <cell r="I14">
            <v>11781741.943599304</v>
          </cell>
        </row>
        <row r="15">
          <cell r="C15">
            <v>354187835.24939758</v>
          </cell>
          <cell r="D15">
            <v>22499315.977498103</v>
          </cell>
          <cell r="G15">
            <v>376687151.22689563</v>
          </cell>
          <cell r="H15">
            <v>3819929.5445862012</v>
          </cell>
          <cell r="I15">
            <v>380507080.77148187</v>
          </cell>
        </row>
        <row r="18">
          <cell r="C18">
            <v>70560214.284559131</v>
          </cell>
          <cell r="D18">
            <v>-497998.15233261522</v>
          </cell>
          <cell r="G18">
            <v>70062216.132226512</v>
          </cell>
          <cell r="H18">
            <v>3422557.9804142676</v>
          </cell>
          <cell r="I18">
            <v>73484774.112640783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C20">
            <v>6841672.160289838</v>
          </cell>
          <cell r="D20">
            <v>19916.905241114458</v>
          </cell>
          <cell r="G20">
            <v>6861589.0655309521</v>
          </cell>
          <cell r="H20">
            <v>-3454581.1455041068</v>
          </cell>
          <cell r="I20">
            <v>3407007.9200268453</v>
          </cell>
        </row>
        <row r="21">
          <cell r="C21">
            <v>63424679.078787863</v>
          </cell>
          <cell r="D21">
            <v>-5518909.259914171</v>
          </cell>
          <cell r="G21">
            <v>57905769.818873689</v>
          </cell>
          <cell r="H21">
            <v>3734508.1600795565</v>
          </cell>
          <cell r="I21">
            <v>61640277.978953242</v>
          </cell>
        </row>
        <row r="22">
          <cell r="C22">
            <v>32375787.706417251</v>
          </cell>
          <cell r="D22">
            <v>-317434.99357527972</v>
          </cell>
          <cell r="G22">
            <v>32058352.712841973</v>
          </cell>
          <cell r="H22">
            <v>-16058293.141053868</v>
          </cell>
          <cell r="I22">
            <v>16000059.571788104</v>
          </cell>
        </row>
        <row r="23">
          <cell r="C23">
            <v>11761768.183577189</v>
          </cell>
          <cell r="D23">
            <v>219958.42013111283</v>
          </cell>
          <cell r="G23">
            <v>11981726.603708303</v>
          </cell>
          <cell r="H23">
            <v>393213.58067023917</v>
          </cell>
          <cell r="I23">
            <v>12374940.184378542</v>
          </cell>
        </row>
        <row r="24">
          <cell r="C24">
            <v>5981921.510807883</v>
          </cell>
          <cell r="D24">
            <v>100459.48209091679</v>
          </cell>
          <cell r="G24">
            <v>6082380.9928987995</v>
          </cell>
          <cell r="H24">
            <v>1020628.8153572457</v>
          </cell>
          <cell r="I24">
            <v>7103009.808256045</v>
          </cell>
        </row>
        <row r="25">
          <cell r="C25">
            <v>1003434.513881115</v>
          </cell>
          <cell r="D25">
            <v>6542.2769399854187</v>
          </cell>
          <cell r="G25">
            <v>1009976.7908211005</v>
          </cell>
          <cell r="H25">
            <v>27737.068649543151</v>
          </cell>
          <cell r="I25">
            <v>1037713.8594706436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C27">
            <v>9015079.8499425296</v>
          </cell>
          <cell r="D27">
            <v>-15118.422651971403</v>
          </cell>
          <cell r="G27">
            <v>8999961.4272905588</v>
          </cell>
          <cell r="H27">
            <v>389702.259528631</v>
          </cell>
          <cell r="I27">
            <v>9389663.6868191902</v>
          </cell>
        </row>
        <row r="28">
          <cell r="C28">
            <v>200964557.28826278</v>
          </cell>
          <cell r="D28">
            <v>-6002583.744070909</v>
          </cell>
          <cell r="G28">
            <v>194961973.54419187</v>
          </cell>
          <cell r="H28">
            <v>-10524526.421858491</v>
          </cell>
          <cell r="I28">
            <v>184437447.12233338</v>
          </cell>
        </row>
        <row r="29">
          <cell r="C29">
            <v>48982077.056560166</v>
          </cell>
          <cell r="D29">
            <v>-485148.8497193756</v>
          </cell>
          <cell r="G29">
            <v>48496928.206840791</v>
          </cell>
          <cell r="H29">
            <v>76471624.207108542</v>
          </cell>
          <cell r="I29">
            <v>124968552.41394934</v>
          </cell>
        </row>
        <row r="30">
          <cell r="C30">
            <v>5113848.0447265487</v>
          </cell>
          <cell r="D30">
            <v>0</v>
          </cell>
          <cell r="G30">
            <v>5113848.0447265487</v>
          </cell>
          <cell r="H30">
            <v>2839433.8911172515</v>
          </cell>
          <cell r="I30">
            <v>7953281.9358438002</v>
          </cell>
        </row>
        <row r="31">
          <cell r="C31">
            <v>22603339.188917331</v>
          </cell>
          <cell r="D31">
            <v>-287844.94099917886</v>
          </cell>
          <cell r="G31">
            <v>22315494.247918151</v>
          </cell>
          <cell r="H31">
            <v>2319053.2107340819</v>
          </cell>
          <cell r="I31">
            <v>24634547.458652232</v>
          </cell>
        </row>
        <row r="32">
          <cell r="C32">
            <v>18041169.881600775</v>
          </cell>
          <cell r="D32">
            <v>6872894.5880994629</v>
          </cell>
          <cell r="G32">
            <v>24914064.46970024</v>
          </cell>
          <cell r="H32">
            <v>-22880080.011172071</v>
          </cell>
          <cell r="I32">
            <v>2033984.4585281685</v>
          </cell>
        </row>
        <row r="33">
          <cell r="C33">
            <v>0</v>
          </cell>
          <cell r="D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C34">
            <v>-7119820.7090670364</v>
          </cell>
          <cell r="D34">
            <v>-4911050.4623990003</v>
          </cell>
          <cell r="G34">
            <v>-12030871.171466038</v>
          </cell>
          <cell r="H34">
            <v>-7298681.5186132751</v>
          </cell>
          <cell r="I34">
            <v>-19329552.690079313</v>
          </cell>
        </row>
        <row r="35">
          <cell r="C35">
            <v>0</v>
          </cell>
          <cell r="D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C36">
            <v>-260133.79775457806</v>
          </cell>
          <cell r="D36">
            <v>325568.89931887086</v>
          </cell>
          <cell r="G36">
            <v>65435.101564292796</v>
          </cell>
          <cell r="H36">
            <v>0</v>
          </cell>
          <cell r="I36">
            <v>65435.101564292796</v>
          </cell>
        </row>
        <row r="37">
          <cell r="C37">
            <v>288325036.953246</v>
          </cell>
          <cell r="D37">
            <v>-4488164.5097701298</v>
          </cell>
          <cell r="G37">
            <v>283836872.44347578</v>
          </cell>
          <cell r="H37">
            <v>40926823.357316032</v>
          </cell>
          <cell r="I37">
            <v>324763695.80079192</v>
          </cell>
        </row>
        <row r="39">
          <cell r="C39">
            <v>65862798.296151578</v>
          </cell>
          <cell r="D39">
            <v>26987480.487268232</v>
          </cell>
          <cell r="G39">
            <v>92850278.783419847</v>
          </cell>
          <cell r="H39">
            <v>-37106893.812729828</v>
          </cell>
          <cell r="I39">
            <v>55743384.970689952</v>
          </cell>
        </row>
        <row r="42">
          <cell r="C42">
            <v>1869127179.5559554</v>
          </cell>
          <cell r="D42">
            <v>28841635.412403777</v>
          </cell>
          <cell r="G42">
            <v>1897968814.9683592</v>
          </cell>
          <cell r="H42">
            <v>196443909.24116501</v>
          </cell>
          <cell r="I42">
            <v>2094412724.2095242</v>
          </cell>
        </row>
        <row r="43">
          <cell r="C43">
            <v>34942.962564657755</v>
          </cell>
          <cell r="D43">
            <v>0</v>
          </cell>
          <cell r="G43">
            <v>34942.962564657755</v>
          </cell>
          <cell r="H43">
            <v>0</v>
          </cell>
          <cell r="I43">
            <v>34942.962564657755</v>
          </cell>
        </row>
        <row r="44">
          <cell r="C44">
            <v>4541409.743199857</v>
          </cell>
          <cell r="D44">
            <v>-4016276.2885573972</v>
          </cell>
          <cell r="G44">
            <v>525133.45464245975</v>
          </cell>
          <cell r="H44">
            <v>155438.60167140979</v>
          </cell>
          <cell r="I44">
            <v>680572.05631386954</v>
          </cell>
        </row>
        <row r="45">
          <cell r="C45">
            <v>0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C46">
            <v>0</v>
          </cell>
          <cell r="D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C47">
            <v>2033329.3412143218</v>
          </cell>
          <cell r="D47">
            <v>-2033329.3412143218</v>
          </cell>
          <cell r="G47">
            <v>0</v>
          </cell>
          <cell r="H47">
            <v>0</v>
          </cell>
          <cell r="I47">
            <v>0</v>
          </cell>
        </row>
        <row r="48">
          <cell r="C48">
            <v>5721215.855558129</v>
          </cell>
          <cell r="D48">
            <v>-5721215.8555581281</v>
          </cell>
          <cell r="G48">
            <v>0</v>
          </cell>
          <cell r="H48">
            <v>0</v>
          </cell>
          <cell r="I48">
            <v>0</v>
          </cell>
        </row>
        <row r="49">
          <cell r="C49">
            <v>8818868.4866138063</v>
          </cell>
          <cell r="D49">
            <v>-8818868.4865037892</v>
          </cell>
          <cell r="G49">
            <v>1.1001713573932648E-4</v>
          </cell>
          <cell r="H49">
            <v>0</v>
          </cell>
          <cell r="I49">
            <v>1.1001713573932648E-4</v>
          </cell>
        </row>
        <row r="50">
          <cell r="C50">
            <v>2839473.9421010017</v>
          </cell>
          <cell r="D50">
            <v>20620031.009924531</v>
          </cell>
          <cell r="G50">
            <v>23459504.952025533</v>
          </cell>
          <cell r="H50">
            <v>0</v>
          </cell>
          <cell r="I50">
            <v>23459504.952025533</v>
          </cell>
        </row>
        <row r="51">
          <cell r="C51">
            <v>5092.6441051398033</v>
          </cell>
          <cell r="D51">
            <v>0</v>
          </cell>
          <cell r="G51">
            <v>5092.6441051398033</v>
          </cell>
          <cell r="H51">
            <v>0</v>
          </cell>
          <cell r="I51">
            <v>5092.6441051398033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C53">
            <v>1893121512.5313125</v>
          </cell>
          <cell r="D53">
            <v>28871976.450494677</v>
          </cell>
          <cell r="G53">
            <v>1921993488.981807</v>
          </cell>
          <cell r="H53">
            <v>196599347.84283641</v>
          </cell>
          <cell r="I53">
            <v>2118592836.8246434</v>
          </cell>
        </row>
        <row r="56">
          <cell r="C56">
            <v>-743720454.69041991</v>
          </cell>
          <cell r="D56">
            <v>-48566074.494073056</v>
          </cell>
          <cell r="G56">
            <v>-792286529.18449295</v>
          </cell>
          <cell r="H56">
            <v>33082154.423417736</v>
          </cell>
          <cell r="I56">
            <v>-759204374.76107526</v>
          </cell>
        </row>
        <row r="57">
          <cell r="C57">
            <v>-61553794.228224881</v>
          </cell>
          <cell r="D57">
            <v>-2423618.2104293355</v>
          </cell>
          <cell r="G57">
            <v>-63977412.438654214</v>
          </cell>
          <cell r="H57">
            <v>2103615.8250537482</v>
          </cell>
          <cell r="I57">
            <v>-61873796.613600463</v>
          </cell>
        </row>
        <row r="58">
          <cell r="C58">
            <v>-272700960.75965124</v>
          </cell>
          <cell r="D58">
            <v>13626096.714858457</v>
          </cell>
          <cell r="G58">
            <v>-259074864.04479277</v>
          </cell>
          <cell r="H58">
            <v>38202167.273743644</v>
          </cell>
          <cell r="I58">
            <v>-220872696.77104914</v>
          </cell>
        </row>
        <row r="59">
          <cell r="C59">
            <v>-19597.460327859608</v>
          </cell>
          <cell r="D59">
            <v>0</v>
          </cell>
          <cell r="G59">
            <v>-19597.460327859608</v>
          </cell>
          <cell r="H59">
            <v>0</v>
          </cell>
          <cell r="I59">
            <v>-19597.460327859608</v>
          </cell>
        </row>
        <row r="60">
          <cell r="C60">
            <v>22214.951184419831</v>
          </cell>
          <cell r="D60">
            <v>-2502028.2767103352</v>
          </cell>
          <cell r="G60">
            <v>-2479813.3255259153</v>
          </cell>
          <cell r="H60">
            <v>0</v>
          </cell>
          <cell r="I60">
            <v>-2479813.3255259153</v>
          </cell>
        </row>
        <row r="61">
          <cell r="C61">
            <v>0</v>
          </cell>
          <cell r="D61">
            <v>-2829106.1541666668</v>
          </cell>
          <cell r="G61">
            <v>-2829106.1541666668</v>
          </cell>
          <cell r="H61">
            <v>0</v>
          </cell>
          <cell r="I61">
            <v>-2829106.1541666668</v>
          </cell>
        </row>
        <row r="62">
          <cell r="C62">
            <v>-36449285.999016821</v>
          </cell>
          <cell r="D62">
            <v>4129504.8610232491</v>
          </cell>
          <cell r="G62">
            <v>-32319781.137993574</v>
          </cell>
          <cell r="H62">
            <v>-23019462.641530417</v>
          </cell>
          <cell r="I62">
            <v>-55339243.779523991</v>
          </cell>
        </row>
        <row r="64">
          <cell r="C64">
            <v>-1114421878.1864562</v>
          </cell>
          <cell r="D64">
            <v>-38565225.559497684</v>
          </cell>
          <cell r="G64">
            <v>-1152987103.745954</v>
          </cell>
          <cell r="H64">
            <v>50368474.880684711</v>
          </cell>
          <cell r="I64">
            <v>-1102618628.8652694</v>
          </cell>
        </row>
        <row r="66">
          <cell r="C66">
            <v>778699634.34485626</v>
          </cell>
          <cell r="D66">
            <v>-9693249.1090030074</v>
          </cell>
          <cell r="G66">
            <v>769006385.23585296</v>
          </cell>
          <cell r="H66">
            <v>246967822.72352111</v>
          </cell>
          <cell r="I66">
            <v>1015974207.959374</v>
          </cell>
        </row>
        <row r="69">
          <cell r="C69">
            <v>0.1165238099568558</v>
          </cell>
          <cell r="D69">
            <v>6.8810828195240287E-2</v>
          </cell>
          <cell r="G69">
            <v>0.18533463815209625</v>
          </cell>
          <cell r="H69">
            <v>-0.12535423999219264</v>
          </cell>
          <cell r="I69">
            <v>5.9980398159903504E-2</v>
          </cell>
        </row>
        <row r="72">
          <cell r="C72">
            <v>76784147.468685314</v>
          </cell>
          <cell r="D72">
            <v>28949324.612968691</v>
          </cell>
          <cell r="G72">
            <v>105733472.08165398</v>
          </cell>
          <cell r="H72">
            <v>-67285655.342515185</v>
          </cell>
          <cell r="I72">
            <v>38447816.739138819</v>
          </cell>
        </row>
        <row r="74">
          <cell r="C74">
            <v>-3011899.3628875981</v>
          </cell>
          <cell r="D74">
            <v>-4620.2408263712532</v>
          </cell>
          <cell r="G74">
            <v>-3016519.6037139692</v>
          </cell>
          <cell r="H74">
            <v>0</v>
          </cell>
          <cell r="I74">
            <v>-3016519.6037139692</v>
          </cell>
        </row>
        <row r="75">
          <cell r="C75">
            <v>22042470.758558765</v>
          </cell>
          <cell r="D75">
            <v>-4093492.604089044</v>
          </cell>
          <cell r="G75">
            <v>17948978.154469721</v>
          </cell>
          <cell r="H75">
            <v>5764347.526921887</v>
          </cell>
          <cell r="I75">
            <v>23713325.681391608</v>
          </cell>
        </row>
        <row r="76">
          <cell r="C76">
            <v>91716240.228935182</v>
          </cell>
          <cell r="D76">
            <v>-185916.44429361407</v>
          </cell>
          <cell r="G76">
            <v>91530323.784641564</v>
          </cell>
          <cell r="H76">
            <v>84202717.107855618</v>
          </cell>
          <cell r="I76">
            <v>175733040.89249718</v>
          </cell>
        </row>
        <row r="77">
          <cell r="C77">
            <v>58295026.136140451</v>
          </cell>
          <cell r="D77">
            <v>133451.54645019188</v>
          </cell>
          <cell r="G77">
            <v>58428477.682590641</v>
          </cell>
          <cell r="H77">
            <v>53396930.176212735</v>
          </cell>
          <cell r="I77">
            <v>111825407.85880338</v>
          </cell>
        </row>
        <row r="78">
          <cell r="C78">
            <v>91174790.165808871</v>
          </cell>
          <cell r="D78">
            <v>32728069.467140302</v>
          </cell>
          <cell r="G78">
            <v>123902859.63294917</v>
          </cell>
          <cell r="H78">
            <v>-42244215.937794186</v>
          </cell>
          <cell r="I78">
            <v>81658643.695154995</v>
          </cell>
        </row>
        <row r="80">
          <cell r="C80">
            <v>0</v>
          </cell>
          <cell r="D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C81">
            <v>91174790.165808871</v>
          </cell>
          <cell r="D81">
            <v>32728069.467140302</v>
          </cell>
          <cell r="G81">
            <v>123902859.63294917</v>
          </cell>
          <cell r="H81">
            <v>-42244215.937794186</v>
          </cell>
          <cell r="I81">
            <v>81658643.695154995</v>
          </cell>
        </row>
        <row r="83">
          <cell r="C83">
            <v>18041169.881600775</v>
          </cell>
          <cell r="D83">
            <v>6872894.5880994629</v>
          </cell>
          <cell r="G83">
            <v>24914064.46970024</v>
          </cell>
          <cell r="H83">
            <v>-22880080.011172071</v>
          </cell>
          <cell r="I83">
            <v>2033984.4585281685</v>
          </cell>
        </row>
        <row r="100">
          <cell r="H100">
            <v>29786937.605305426</v>
          </cell>
        </row>
        <row r="113">
          <cell r="H113">
            <v>153211.59835819079</v>
          </cell>
        </row>
        <row r="120">
          <cell r="H120">
            <v>1236157.9106201753</v>
          </cell>
        </row>
        <row r="121">
          <cell r="H121">
            <v>5963489.3002286823</v>
          </cell>
        </row>
        <row r="122">
          <cell r="H122">
            <v>0</v>
          </cell>
        </row>
        <row r="126">
          <cell r="H126">
            <v>7352858.8092070483</v>
          </cell>
        </row>
        <row r="128">
          <cell r="H128">
            <v>22434078.796098378</v>
          </cell>
        </row>
        <row r="142">
          <cell r="H142">
            <v>0</v>
          </cell>
        </row>
        <row r="153">
          <cell r="H153">
            <v>0</v>
          </cell>
        </row>
        <row r="155">
          <cell r="H155">
            <v>0</v>
          </cell>
        </row>
        <row r="161">
          <cell r="H161">
            <v>28397568.096327059</v>
          </cell>
        </row>
        <row r="166">
          <cell r="H166">
            <v>28397568.096327059</v>
          </cell>
        </row>
        <row r="169">
          <cell r="H169">
            <v>28397568.096327059</v>
          </cell>
        </row>
        <row r="171">
          <cell r="H171">
            <v>5963489.3002286823</v>
          </cell>
        </row>
      </sheetData>
      <sheetData sheetId="11">
        <row r="68">
          <cell r="D68">
            <v>6780264.2270464059</v>
          </cell>
          <cell r="E68">
            <v>-30756029.317547593</v>
          </cell>
          <cell r="F68">
            <v>-65067.678502662136</v>
          </cell>
          <cell r="G68">
            <v>-478951.91371601424</v>
          </cell>
        </row>
        <row r="85">
          <cell r="D85">
            <v>-1357438.9373999999</v>
          </cell>
          <cell r="E85">
            <v>6157493.3302624086</v>
          </cell>
          <cell r="F85">
            <v>13026.83751075797</v>
          </cell>
          <cell r="G85">
            <v>95888.29506480429</v>
          </cell>
        </row>
        <row r="155">
          <cell r="D155">
            <v>-221345.30151757802</v>
          </cell>
          <cell r="E155">
            <v>186656.64114601974</v>
          </cell>
          <cell r="F155">
            <v>1334265.6752806464</v>
          </cell>
          <cell r="G155">
            <v>-572684.07454004709</v>
          </cell>
          <cell r="H155">
            <v>-13636.869271247004</v>
          </cell>
          <cell r="I155">
            <v>16652.200070990391</v>
          </cell>
          <cell r="J155">
            <v>65305.072374091229</v>
          </cell>
          <cell r="K155">
            <v>40843.052359645561</v>
          </cell>
          <cell r="L155">
            <v>1369528.3516624556</v>
          </cell>
          <cell r="M155">
            <v>264543.51284604659</v>
          </cell>
          <cell r="N155">
            <v>458090.87173366017</v>
          </cell>
          <cell r="O155">
            <v>106598.00877859717</v>
          </cell>
          <cell r="P155">
            <v>154739.08009081334</v>
          </cell>
        </row>
        <row r="172">
          <cell r="D172">
            <v>44314.310007560016</v>
          </cell>
          <cell r="E172">
            <v>-37369.486517235695</v>
          </cell>
          <cell r="F172">
            <v>-267125.89949481003</v>
          </cell>
          <cell r="G172">
            <v>114653.88893084262</v>
          </cell>
          <cell r="H172">
            <v>2730.1616446130793</v>
          </cell>
          <cell r="I172">
            <v>-3333.8442297822112</v>
          </cell>
          <cell r="J172">
            <v>-13074.364815563074</v>
          </cell>
          <cell r="K172">
            <v>-8176.9600326330137</v>
          </cell>
          <cell r="L172">
            <v>-274185.64353349555</v>
          </cell>
          <cell r="M172">
            <v>-52962.783300000003</v>
          </cell>
          <cell r="N172">
            <v>-93746.534944430314</v>
          </cell>
          <cell r="O172">
            <v>-21341.393627134297</v>
          </cell>
          <cell r="P172">
            <v>-30979.449387067303</v>
          </cell>
        </row>
        <row r="242">
          <cell r="D242">
            <v>-5953327.5028426554</v>
          </cell>
          <cell r="E242">
            <v>-3427905.8321518279</v>
          </cell>
          <cell r="F242">
            <v>-1096178.9907136585</v>
          </cell>
          <cell r="G242">
            <v>167828.45382725884</v>
          </cell>
          <cell r="H242">
            <v>75939.03663644912</v>
          </cell>
        </row>
        <row r="259">
          <cell r="D259">
            <v>1191882.5415706944</v>
          </cell>
          <cell r="E259">
            <v>686281.93452136894</v>
          </cell>
          <cell r="F259">
            <v>54429.022984475894</v>
          </cell>
          <cell r="G259">
            <v>-33600</v>
          </cell>
          <cell r="H259">
            <v>-30070.563829731018</v>
          </cell>
        </row>
        <row r="325">
          <cell r="M325">
            <v>0</v>
          </cell>
          <cell r="N325">
            <v>0</v>
          </cell>
          <cell r="O325">
            <v>0</v>
          </cell>
          <cell r="P325">
            <v>2173374.3301647943</v>
          </cell>
          <cell r="Q325">
            <v>-13900.214829778794</v>
          </cell>
          <cell r="R325">
            <v>-2629833.7260739496</v>
          </cell>
        </row>
        <row r="329">
          <cell r="D329">
            <v>-580532.71785354696</v>
          </cell>
          <cell r="E329">
            <v>-1991323.918298658</v>
          </cell>
          <cell r="F329">
            <v>-5301699.9324787231</v>
          </cell>
          <cell r="G329">
            <v>-331594.16026262101</v>
          </cell>
          <cell r="H329">
            <v>-284663.0402376448</v>
          </cell>
          <cell r="I329">
            <v>-255432.72675861878</v>
          </cell>
          <cell r="J329">
            <v>-1331344.6161374121</v>
          </cell>
          <cell r="K329">
            <v>-82350.905845299712</v>
          </cell>
          <cell r="L329">
            <v>69090950.319808364</v>
          </cell>
        </row>
        <row r="346">
          <cell r="D346">
            <v>116225.22209467566</v>
          </cell>
          <cell r="E346">
            <v>398671.87076454837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M346">
            <v>941861.21426125499</v>
          </cell>
          <cell r="N346">
            <v>-5838.0902285070933</v>
          </cell>
          <cell r="O346">
            <v>-33161.200658652859</v>
          </cell>
          <cell r="P346">
            <v>0</v>
          </cell>
          <cell r="Q346">
            <v>0</v>
          </cell>
          <cell r="R346">
            <v>0</v>
          </cell>
        </row>
        <row r="416">
          <cell r="D416">
            <v>-465882.67117426416</v>
          </cell>
          <cell r="E416">
            <v>2246749.5181474253</v>
          </cell>
          <cell r="F416">
            <v>-18600271.744320914</v>
          </cell>
          <cell r="G416">
            <v>780364.02094638185</v>
          </cell>
          <cell r="H416">
            <v>-153043.36013204776</v>
          </cell>
          <cell r="I416">
            <v>5469651.3508329149</v>
          </cell>
          <cell r="J416">
            <v>-262626.35597158602</v>
          </cell>
          <cell r="K416">
            <v>1288.2567530212616</v>
          </cell>
          <cell r="L416">
            <v>-3469.8532828785769</v>
          </cell>
          <cell r="M416">
            <v>189239.80201446149</v>
          </cell>
          <cell r="N416">
            <v>-5242169.8048817897</v>
          </cell>
          <cell r="O416">
            <v>202766.26188643108</v>
          </cell>
          <cell r="P416">
            <v>3582147.6109786476</v>
          </cell>
        </row>
        <row r="436">
          <cell r="D436">
            <v>-350879.53379489703</v>
          </cell>
          <cell r="E436">
            <v>-449809.20748667588</v>
          </cell>
          <cell r="F436">
            <v>-14008794.664235296</v>
          </cell>
          <cell r="G436">
            <v>0</v>
          </cell>
          <cell r="H436">
            <v>-115264.60668345177</v>
          </cell>
          <cell r="I436">
            <v>0</v>
          </cell>
          <cell r="J436">
            <v>52578.96</v>
          </cell>
          <cell r="K436">
            <v>970.25057353796319</v>
          </cell>
          <cell r="L436">
            <v>694.68</v>
          </cell>
          <cell r="M436">
            <v>-37886.646767481325</v>
          </cell>
          <cell r="N436">
            <v>0</v>
          </cell>
          <cell r="O436">
            <v>-835773.21518714749</v>
          </cell>
          <cell r="P436">
            <v>-6333459.3035498457</v>
          </cell>
        </row>
        <row r="506">
          <cell r="D506">
            <v>1174510.1175702675</v>
          </cell>
          <cell r="E506">
            <v>-19124694.30112794</v>
          </cell>
          <cell r="F506">
            <v>-255628.55646658764</v>
          </cell>
          <cell r="G506">
            <v>153741.39826362408</v>
          </cell>
          <cell r="H506">
            <v>7361746.4034772562</v>
          </cell>
          <cell r="I506">
            <v>69371.499752798336</v>
          </cell>
          <cell r="J506">
            <v>-38630.491607714306</v>
          </cell>
          <cell r="K506">
            <v>-1960845.5523122218</v>
          </cell>
          <cell r="L506">
            <v>-367241.28304568963</v>
          </cell>
          <cell r="M506">
            <v>-289345.09626950143</v>
          </cell>
          <cell r="N506">
            <v>-225669.82280453047</v>
          </cell>
          <cell r="O506">
            <v>2396823.1862638248</v>
          </cell>
          <cell r="P506">
            <v>-4228088.9613562748</v>
          </cell>
          <cell r="Q506">
            <v>411388.54171635566</v>
          </cell>
          <cell r="R506">
            <v>1893710.7401182011</v>
          </cell>
          <cell r="S506">
            <v>441161.74518235272</v>
          </cell>
          <cell r="T506">
            <v>-73795.516912081119</v>
          </cell>
          <cell r="U506">
            <v>-8955.3093123992621</v>
          </cell>
          <cell r="V506">
            <v>83969.306459545915</v>
          </cell>
          <cell r="W506">
            <v>648153.70086977852</v>
          </cell>
          <cell r="X506">
            <v>8548266.4887767155</v>
          </cell>
          <cell r="Y506">
            <v>21839277.95339001</v>
          </cell>
          <cell r="Z506">
            <v>12532677.633113012</v>
          </cell>
        </row>
        <row r="523">
          <cell r="D523">
            <v>0</v>
          </cell>
          <cell r="E523">
            <v>4677214.6554000061</v>
          </cell>
          <cell r="F523">
            <v>0</v>
          </cell>
          <cell r="G523">
            <v>-715313.7497767146</v>
          </cell>
          <cell r="H523">
            <v>0</v>
          </cell>
          <cell r="I523">
            <v>-645899.13084593962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-12688.116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-572737.37284922577</v>
          </cell>
          <cell r="Y523">
            <v>-6192883.5842673071</v>
          </cell>
          <cell r="Z523">
            <v>0</v>
          </cell>
        </row>
        <row r="593">
          <cell r="D593">
            <v>-2880833.7916942481</v>
          </cell>
          <cell r="E593">
            <v>-8223.7975273161919</v>
          </cell>
          <cell r="F593">
            <v>-8491511.9479962178</v>
          </cell>
          <cell r="G593">
            <v>-2757500.3266103282</v>
          </cell>
          <cell r="H593">
            <v>316128.59072814963</v>
          </cell>
          <cell r="I593">
            <v>2979470.5952629573</v>
          </cell>
        </row>
        <row r="610">
          <cell r="D610">
            <v>486167.70427862118</v>
          </cell>
          <cell r="E610">
            <v>155251.05463440131</v>
          </cell>
          <cell r="F610">
            <v>454270.13436673576</v>
          </cell>
          <cell r="G610">
            <v>916065.96787002869</v>
          </cell>
          <cell r="H610">
            <v>-82481.96369787147</v>
          </cell>
          <cell r="I610">
            <v>48418.78732695034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3.1"/>
      <sheetName val="Page 3.1.1"/>
      <sheetName val="Page 3.1.2"/>
      <sheetName val="Pages 3.1.3 - 3.1.4"/>
      <sheetName val="Pages 3.1.5 - 3.1.6"/>
    </sheetNames>
    <sheetDataSet>
      <sheetData sheetId="0">
        <row r="16">
          <cell r="I16">
            <v>-6463994.9400000004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3.2"/>
      <sheetName val="3-2 - Revenue Normalization"/>
    </sheetNames>
    <sheetDataSet>
      <sheetData sheetId="0">
        <row r="14">
          <cell r="I14">
            <v>29321396.810773376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4.10"/>
      <sheetName val="Page 4.10.1"/>
      <sheetName val="Page 4.10.2"/>
    </sheetNames>
    <sheetDataSet>
      <sheetData sheetId="0">
        <row r="11">
          <cell r="I11">
            <v>-101815.87</v>
          </cell>
        </row>
        <row r="12">
          <cell r="I12">
            <v>-93091.33</v>
          </cell>
        </row>
        <row r="13">
          <cell r="I13">
            <v>-57296.53</v>
          </cell>
        </row>
        <row r="14">
          <cell r="I14">
            <v>0</v>
          </cell>
        </row>
        <row r="19">
          <cell r="I19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3.3"/>
      <sheetName val="Page 3.3.1"/>
    </sheetNames>
    <sheetDataSet>
      <sheetData sheetId="0">
        <row r="12">
          <cell r="I12">
            <v>-105882.16327527266</v>
          </cell>
        </row>
        <row r="13">
          <cell r="I13">
            <v>167914.72285031062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4.2"/>
      <sheetName val="Page 4.3"/>
      <sheetName val="Page 4.3.1"/>
      <sheetName val="Page 4.3.2"/>
      <sheetName val="Page 4.3.3"/>
      <sheetName val="Page 4.3.4 - 4.3.5 REDACTED"/>
      <sheetName val="Page 4.3.6"/>
      <sheetName val="Page 4.3.7"/>
      <sheetName val="Page 4.3.8"/>
      <sheetName val="Page 4.3.9"/>
    </sheetNames>
    <sheetDataSet>
      <sheetData sheetId="0">
        <row r="11">
          <cell r="I11">
            <v>0</v>
          </cell>
        </row>
        <row r="12">
          <cell r="I12">
            <v>1.5727242446999501</v>
          </cell>
        </row>
        <row r="13">
          <cell r="I13">
            <v>2810.6997160267542</v>
          </cell>
        </row>
        <row r="14">
          <cell r="I14">
            <v>152.9074522926899</v>
          </cell>
        </row>
        <row r="16">
          <cell r="I16">
            <v>0</v>
          </cell>
        </row>
        <row r="17">
          <cell r="I17">
            <v>15961.173619978355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14531.613506797037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927.81241719007937</v>
          </cell>
        </row>
        <row r="24">
          <cell r="I24">
            <v>72.016604664472382</v>
          </cell>
        </row>
        <row r="25">
          <cell r="I25">
            <v>6942.6711794116145</v>
          </cell>
        </row>
        <row r="26">
          <cell r="I26">
            <v>8992.9521174908896</v>
          </cell>
        </row>
        <row r="27">
          <cell r="I27">
            <v>10267.132879284731</v>
          </cell>
        </row>
        <row r="28">
          <cell r="I28">
            <v>19919.67652055384</v>
          </cell>
        </row>
        <row r="29">
          <cell r="I29">
            <v>22.426319910620801</v>
          </cell>
        </row>
        <row r="30">
          <cell r="I30">
            <v>0</v>
          </cell>
        </row>
        <row r="31">
          <cell r="I31">
            <v>28073.730318020236</v>
          </cell>
        </row>
        <row r="32">
          <cell r="I32">
            <v>0</v>
          </cell>
        </row>
        <row r="33">
          <cell r="I33">
            <v>3955.7316211361049</v>
          </cell>
        </row>
        <row r="34">
          <cell r="I34">
            <v>0</v>
          </cell>
        </row>
        <row r="35">
          <cell r="I35">
            <v>2987.1073567512808</v>
          </cell>
        </row>
        <row r="36">
          <cell r="I36">
            <v>784.67526174555223</v>
          </cell>
        </row>
        <row r="37">
          <cell r="I37">
            <v>0</v>
          </cell>
        </row>
        <row r="38">
          <cell r="I38">
            <v>978.62371989509074</v>
          </cell>
        </row>
        <row r="39">
          <cell r="I39">
            <v>0</v>
          </cell>
        </row>
        <row r="40">
          <cell r="I40">
            <v>4736.9173050880599</v>
          </cell>
        </row>
        <row r="41">
          <cell r="I41">
            <v>1982.0446904862904</v>
          </cell>
        </row>
        <row r="42">
          <cell r="I42">
            <v>107.20503952937108</v>
          </cell>
        </row>
        <row r="43">
          <cell r="I43">
            <v>2898.5723525846788</v>
          </cell>
        </row>
        <row r="44">
          <cell r="I44">
            <v>28106.630159277469</v>
          </cell>
        </row>
        <row r="45">
          <cell r="I45">
            <v>13093.221895505947</v>
          </cell>
        </row>
        <row r="46">
          <cell r="I46">
            <v>5173.3472282338689</v>
          </cell>
        </row>
        <row r="47">
          <cell r="I47">
            <v>1465.4167376605737</v>
          </cell>
        </row>
        <row r="48">
          <cell r="I48">
            <v>0</v>
          </cell>
        </row>
        <row r="49">
          <cell r="I49">
            <v>2078.084514086288</v>
          </cell>
        </row>
        <row r="50">
          <cell r="I50">
            <v>925.77056091810255</v>
          </cell>
        </row>
        <row r="51">
          <cell r="I51">
            <v>0.20197759572876176</v>
          </cell>
        </row>
      </sheetData>
      <sheetData sheetId="1">
        <row r="11">
          <cell r="I11">
            <v>0</v>
          </cell>
        </row>
        <row r="12">
          <cell r="I12">
            <v>11.242203671409905</v>
          </cell>
        </row>
        <row r="13">
          <cell r="I13">
            <v>20091.544193607322</v>
          </cell>
        </row>
        <row r="14">
          <cell r="I14">
            <v>1093.018516973885</v>
          </cell>
        </row>
        <row r="16">
          <cell r="I16">
            <v>0</v>
          </cell>
        </row>
        <row r="17">
          <cell r="I17">
            <v>114094.23188790833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103875.39917958803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6632.2218901788501</v>
          </cell>
        </row>
        <row r="24">
          <cell r="I24">
            <v>514.79166808156526</v>
          </cell>
        </row>
        <row r="25">
          <cell r="I25">
            <v>49627.850327610227</v>
          </cell>
        </row>
        <row r="26">
          <cell r="I26">
            <v>64283.741827454236</v>
          </cell>
        </row>
        <row r="27">
          <cell r="I27">
            <v>73391.886301319988</v>
          </cell>
        </row>
        <row r="28">
          <cell r="I28">
            <v>0</v>
          </cell>
        </row>
        <row r="29">
          <cell r="I29">
            <v>200677.64270501974</v>
          </cell>
        </row>
        <row r="30">
          <cell r="I30">
            <v>0</v>
          </cell>
        </row>
        <row r="31">
          <cell r="I31">
            <v>28276.502193003915</v>
          </cell>
        </row>
        <row r="32">
          <cell r="I32">
            <v>0</v>
          </cell>
        </row>
        <row r="33">
          <cell r="I33">
            <v>21352.54759766968</v>
          </cell>
        </row>
        <row r="34">
          <cell r="I34">
            <v>5609.0437584265555</v>
          </cell>
        </row>
        <row r="35">
          <cell r="I35">
            <v>0</v>
          </cell>
        </row>
        <row r="36">
          <cell r="I36">
            <v>6995.4330606967824</v>
          </cell>
        </row>
        <row r="37">
          <cell r="I37">
            <v>0</v>
          </cell>
        </row>
        <row r="38">
          <cell r="I38">
            <v>33860.601626692645</v>
          </cell>
        </row>
        <row r="39">
          <cell r="I39">
            <v>14168.122715329937</v>
          </cell>
        </row>
        <row r="40">
          <cell r="I40">
            <v>766.32689618177517</v>
          </cell>
        </row>
        <row r="41">
          <cell r="I41">
            <v>20719.678515728396</v>
          </cell>
        </row>
        <row r="42">
          <cell r="I42">
            <v>200912.81852647557</v>
          </cell>
        </row>
        <row r="43">
          <cell r="I43">
            <v>93593.436840750306</v>
          </cell>
        </row>
        <row r="44">
          <cell r="I44">
            <v>36980.305605846996</v>
          </cell>
        </row>
        <row r="45">
          <cell r="I45">
            <v>10475.144313309858</v>
          </cell>
        </row>
        <row r="46">
          <cell r="I46">
            <v>0</v>
          </cell>
        </row>
        <row r="47">
          <cell r="I47">
            <v>14854.638015844961</v>
          </cell>
        </row>
        <row r="48">
          <cell r="I48">
            <v>142390.54383967503</v>
          </cell>
        </row>
        <row r="49">
          <cell r="I49">
            <v>160.30862173393581</v>
          </cell>
        </row>
        <row r="50">
          <cell r="I50">
            <v>6617.6262201784239</v>
          </cell>
        </row>
        <row r="51">
          <cell r="I51">
            <v>1.4437834705585262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5.3"/>
      <sheetName val="Page 5.3.1"/>
      <sheetName val="Page 5.3.2"/>
      <sheetName val="Page 5.3.3"/>
      <sheetName val="Page 5.3.4"/>
    </sheetNames>
    <sheetDataSet>
      <sheetData sheetId="0">
        <row r="11">
          <cell r="I11">
            <v>-37468.940999178878</v>
          </cell>
        </row>
        <row r="12">
          <cell r="I12">
            <v>259147.04859040832</v>
          </cell>
        </row>
        <row r="13">
          <cell r="I13">
            <v>70160.056256507218</v>
          </cell>
        </row>
        <row r="15">
          <cell r="I15">
            <v>-2170.1020077220942</v>
          </cell>
        </row>
        <row r="16">
          <cell r="I16">
            <v>-79307.028950560503</v>
          </cell>
        </row>
        <row r="17">
          <cell r="I17">
            <v>-12609.655092938016</v>
          </cell>
        </row>
        <row r="18">
          <cell r="I18">
            <v>-67166.844788615243</v>
          </cell>
        </row>
        <row r="19">
          <cell r="I19">
            <v>-2878.1702973257934</v>
          </cell>
        </row>
        <row r="20">
          <cell r="I20">
            <v>-129787.55415490002</v>
          </cell>
        </row>
        <row r="21">
          <cell r="I21">
            <v>-1444.0667414613361</v>
          </cell>
        </row>
        <row r="22">
          <cell r="I22">
            <v>-16450.299165102755</v>
          </cell>
        </row>
        <row r="23">
          <cell r="I23">
            <v>-21803.056906190395</v>
          </cell>
        </row>
        <row r="24">
          <cell r="I24">
            <v>-165160.9531400484</v>
          </cell>
        </row>
        <row r="25">
          <cell r="I25">
            <v>-3403.1435557821887</v>
          </cell>
        </row>
        <row r="26">
          <cell r="I26">
            <v>-26856.187742552775</v>
          </cell>
        </row>
        <row r="27">
          <cell r="I27">
            <v>-3152.4811750072258</v>
          </cell>
        </row>
        <row r="28">
          <cell r="I28">
            <v>-862.38760862200888</v>
          </cell>
        </row>
        <row r="31">
          <cell r="I31">
            <v>-23795975.487806994</v>
          </cell>
        </row>
        <row r="32">
          <cell r="I32">
            <v>-3831650.5733896988</v>
          </cell>
        </row>
        <row r="33">
          <cell r="I33">
            <v>19825553.378890555</v>
          </cell>
        </row>
        <row r="34">
          <cell r="I34">
            <v>841689.67076181446</v>
          </cell>
        </row>
        <row r="35">
          <cell r="I35">
            <v>1832988.4958688179</v>
          </cell>
        </row>
        <row r="40">
          <cell r="I40">
            <v>-52188</v>
          </cell>
        </row>
        <row r="41">
          <cell r="I41">
            <v>12831</v>
          </cell>
        </row>
        <row r="42">
          <cell r="I42">
            <v>26739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4.1"/>
      <sheetName val="Page 4.1.1"/>
    </sheetNames>
    <sheetDataSet>
      <sheetData sheetId="0">
        <row r="18">
          <cell r="I18">
            <v>265149.29931887088</v>
          </cell>
        </row>
        <row r="22">
          <cell r="I22">
            <v>-485148.8497193756</v>
          </cell>
        </row>
        <row r="24">
          <cell r="I24">
            <v>-403.41853329627918</v>
          </cell>
        </row>
        <row r="25">
          <cell r="I25">
            <v>-304.45544521771291</v>
          </cell>
        </row>
        <row r="27">
          <cell r="I27">
            <v>0</v>
          </cell>
        </row>
        <row r="28">
          <cell r="I28">
            <v>-2298.8132621034024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15444.42</v>
          </cell>
        </row>
        <row r="33">
          <cell r="I33">
            <v>0</v>
          </cell>
        </row>
        <row r="34">
          <cell r="I34">
            <v>-128.41581439238954</v>
          </cell>
        </row>
        <row r="35">
          <cell r="I35">
            <v>-2777.6049461510806</v>
          </cell>
        </row>
        <row r="36">
          <cell r="I36">
            <v>-999.92636081177852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-267.5</v>
          </cell>
        </row>
        <row r="41">
          <cell r="I41">
            <v>1928.7644503720455</v>
          </cell>
        </row>
        <row r="42">
          <cell r="I42">
            <v>-1214.0235334185697</v>
          </cell>
        </row>
        <row r="43">
          <cell r="I43">
            <v>0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4.4"/>
      <sheetName val="Page 4.4.1"/>
      <sheetName val="Page 4.4.2"/>
      <sheetName val="Page 4.4.3"/>
    </sheetNames>
    <sheetDataSet>
      <sheetData sheetId="0">
        <row r="11">
          <cell r="I11">
            <v>-536813.79741002049</v>
          </cell>
        </row>
        <row r="14">
          <cell r="I14">
            <v>-332203.66081165004</v>
          </cell>
        </row>
        <row r="15">
          <cell r="I15">
            <v>169938.45711545565</v>
          </cell>
        </row>
        <row r="16">
          <cell r="I16">
            <v>40091.775593346334</v>
          </cell>
        </row>
        <row r="18">
          <cell r="I18">
            <v>237738.1249464975</v>
          </cell>
        </row>
        <row r="19">
          <cell r="I19">
            <v>-124721.799104308</v>
          </cell>
        </row>
      </sheetData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4.8"/>
      <sheetName val="Page 4.8.1"/>
    </sheetNames>
    <sheetDataSet>
      <sheetData sheetId="0">
        <row r="10">
          <cell r="I10">
            <v>0</v>
          </cell>
        </row>
        <row r="11">
          <cell r="I11">
            <v>0</v>
          </cell>
        </row>
        <row r="12">
          <cell r="I12">
            <v>173786.64182651124</v>
          </cell>
        </row>
        <row r="13">
          <cell r="I13">
            <v>0</v>
          </cell>
        </row>
        <row r="14">
          <cell r="I14">
            <v>-88079.260840091185</v>
          </cell>
        </row>
        <row r="15">
          <cell r="I15">
            <v>5289.7725308105873</v>
          </cell>
        </row>
        <row r="16">
          <cell r="I16">
            <v>0</v>
          </cell>
        </row>
        <row r="17">
          <cell r="I17">
            <v>6754.3600000000006</v>
          </cell>
        </row>
        <row r="18">
          <cell r="I18">
            <v>-245.32449298058287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20358.871091146189</v>
          </cell>
        </row>
        <row r="22">
          <cell r="I22">
            <v>-120.38275286138142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64394.99995555231</v>
          </cell>
        </row>
        <row r="26">
          <cell r="I26">
            <v>2614.2646240441059</v>
          </cell>
        </row>
        <row r="27">
          <cell r="I27">
            <v>0</v>
          </cell>
        </row>
        <row r="28">
          <cell r="I28">
            <v>10013.740211972934</v>
          </cell>
        </row>
        <row r="29">
          <cell r="I29">
            <v>-26625.720145223753</v>
          </cell>
        </row>
        <row r="30">
          <cell r="I30">
            <v>0</v>
          </cell>
        </row>
        <row r="31">
          <cell r="I31">
            <v>1919.8500000000004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-7367.5553526089234</v>
          </cell>
        </row>
        <row r="35">
          <cell r="I35">
            <v>0</v>
          </cell>
        </row>
        <row r="36">
          <cell r="I36">
            <v>387.5</v>
          </cell>
        </row>
        <row r="37">
          <cell r="I37">
            <v>0</v>
          </cell>
        </row>
        <row r="38">
          <cell r="I38">
            <v>57.718990624016129</v>
          </cell>
        </row>
        <row r="39">
          <cell r="I39">
            <v>0</v>
          </cell>
        </row>
        <row r="40">
          <cell r="I40">
            <v>153.09764114344108</v>
          </cell>
        </row>
        <row r="41">
          <cell r="I41">
            <v>-124087.16837073895</v>
          </cell>
        </row>
        <row r="42">
          <cell r="I42">
            <v>0</v>
          </cell>
        </row>
        <row r="43">
          <cell r="I43">
            <v>-267.5</v>
          </cell>
        </row>
        <row r="44">
          <cell r="I44">
            <v>0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5.1"/>
      <sheetName val="Page 5.1.1"/>
      <sheetName val="Page 5.1.2"/>
      <sheetName val="Page 5.1.3"/>
      <sheetName val="Page 5.1.4"/>
    </sheetNames>
    <sheetDataSet>
      <sheetData sheetId="0">
        <row r="21">
          <cell r="I21">
            <v>-5675631.1503366409</v>
          </cell>
        </row>
        <row r="27">
          <cell r="I27">
            <v>4.6566128730773926E-10</v>
          </cell>
        </row>
      </sheetData>
      <sheetData sheetId="1">
        <row r="14">
          <cell r="A14" t="str">
            <v>Sales for Resale  (Account 447)</v>
          </cell>
        </row>
      </sheetData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4.7"/>
      <sheetName val="Page 4.7.1"/>
    </sheetNames>
    <sheetDataSet>
      <sheetData sheetId="0">
        <row r="9">
          <cell r="I9">
            <v>62258.880074109882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4.5"/>
      <sheetName val="Page 4.5.1"/>
    </sheetNames>
    <sheetDataSet>
      <sheetData sheetId="0">
        <row r="11">
          <cell r="I11">
            <v>-17977.377403437036</v>
          </cell>
        </row>
        <row r="12">
          <cell r="I12">
            <v>-2853.9386865947185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1821.46</v>
          </cell>
        </row>
        <row r="18">
          <cell r="I18">
            <v>0</v>
          </cell>
        </row>
        <row r="19">
          <cell r="I19">
            <v>6009.0863537789955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4.6"/>
      <sheetName val="Page 4.6.1 - 4.6.3"/>
    </sheetNames>
    <sheetDataSet>
      <sheetData sheetId="0">
        <row r="25">
          <cell r="I25">
            <v>15875.448713248625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4.11"/>
      <sheetName val="Page 4.11.1"/>
      <sheetName val="Page 4.11.2"/>
    </sheetNames>
    <sheetDataSet>
      <sheetData sheetId="0">
        <row r="13">
          <cell r="I13">
            <v>438379.12901055615</v>
          </cell>
        </row>
        <row r="16">
          <cell r="I16">
            <v>-125695.50214021644</v>
          </cell>
        </row>
        <row r="17">
          <cell r="I17">
            <v>-30904.237656576439</v>
          </cell>
        </row>
        <row r="18">
          <cell r="I18">
            <v>1391835.8916528141</v>
          </cell>
        </row>
        <row r="20">
          <cell r="I20">
            <v>-29963.444293614059</v>
          </cell>
        </row>
        <row r="21">
          <cell r="I21">
            <v>7366.979001068712</v>
          </cell>
        </row>
        <row r="22">
          <cell r="I22">
            <v>-917754.64838915446</v>
          </cell>
        </row>
        <row r="24">
          <cell r="I24">
            <v>-103765</v>
          </cell>
        </row>
        <row r="25">
          <cell r="I25">
            <v>25512</v>
          </cell>
        </row>
        <row r="26">
          <cell r="I26">
            <v>-494825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4.12"/>
      <sheetName val="Page 4.12.1"/>
    </sheetNames>
    <sheetDataSet>
      <sheetData sheetId="0">
        <row r="10">
          <cell r="I10">
            <v>101625.68393873476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4.13"/>
      <sheetName val="Page 4.13.1"/>
      <sheetName val="Page 4.13.2"/>
    </sheetNames>
    <sheetDataSet>
      <sheetData sheetId="0">
        <row r="11">
          <cell r="I11">
            <v>-2448.1161636082402</v>
          </cell>
        </row>
        <row r="12">
          <cell r="I12">
            <v>36529.439999999995</v>
          </cell>
        </row>
        <row r="13">
          <cell r="I13">
            <v>36529.439999999995</v>
          </cell>
        </row>
        <row r="14">
          <cell r="I14">
            <v>76910.423721071609</v>
          </cell>
        </row>
      </sheetData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7.7"/>
      <sheetName val="7-7 - WA Public Utility Tax"/>
    </sheetNames>
    <sheetDataSet>
      <sheetData sheetId="0">
        <row r="9">
          <cell r="I9">
            <v>-250376</v>
          </cell>
        </row>
      </sheetData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7.11"/>
      <sheetName val="7-11 - Removal of TCJA Deferred"/>
    </sheetNames>
    <sheetDataSet>
      <sheetData sheetId="0">
        <row r="10">
          <cell r="I10">
            <v>1326685</v>
          </cell>
        </row>
        <row r="11">
          <cell r="I11">
            <v>0</v>
          </cell>
        </row>
        <row r="12">
          <cell r="I12">
            <v>1744008</v>
          </cell>
        </row>
        <row r="16">
          <cell r="I16">
            <v>-428792</v>
          </cell>
        </row>
        <row r="17">
          <cell r="I17">
            <v>-326187</v>
          </cell>
        </row>
        <row r="18">
          <cell r="I18">
            <v>11302222</v>
          </cell>
        </row>
        <row r="19">
          <cell r="I19">
            <v>-1953974</v>
          </cell>
        </row>
        <row r="20">
          <cell r="I20">
            <v>-3042042.26</v>
          </cell>
        </row>
      </sheetData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7"/>
      <sheetName val="Page 8.7.1"/>
    </sheetNames>
    <sheetDataSet>
      <sheetData sheetId="0">
        <row r="10">
          <cell r="I10">
            <v>60419.600000000006</v>
          </cell>
        </row>
        <row r="14">
          <cell r="I14">
            <v>-2829106.1541666668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1"/>
      <sheetName val="Page 8.1.1"/>
    </sheetNames>
    <sheetDataSet>
      <sheetData sheetId="0">
        <row r="10">
          <cell r="I10">
            <v>67460672.393375278</v>
          </cell>
        </row>
        <row r="11">
          <cell r="I11">
            <v>269991.29788533977</v>
          </cell>
        </row>
        <row r="12">
          <cell r="I12">
            <v>-49993993.149875611</v>
          </cell>
        </row>
        <row r="16">
          <cell r="I16">
            <v>-760672.54674873245</v>
          </cell>
        </row>
        <row r="17">
          <cell r="I17">
            <v>146387.41675713679</v>
          </cell>
        </row>
        <row r="18">
          <cell r="I18">
            <v>-1248784.5021203966</v>
          </cell>
        </row>
        <row r="22">
          <cell r="I22">
            <v>1702454.0464610923</v>
          </cell>
        </row>
        <row r="23">
          <cell r="I23">
            <v>14008.415838076389</v>
          </cell>
        </row>
        <row r="24">
          <cell r="I24">
            <v>-6094252.5511277551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9"/>
      <sheetName val="Page 8.9.1 - 8.9.2"/>
    </sheetNames>
    <sheetDataSet>
      <sheetData sheetId="0">
        <row r="9">
          <cell r="I9">
            <v>-48905909.683527932</v>
          </cell>
        </row>
        <row r="10">
          <cell r="I10">
            <v>4148625.7195736552</v>
          </cell>
        </row>
        <row r="11">
          <cell r="I11">
            <v>-1066060.7289281213</v>
          </cell>
        </row>
        <row r="12">
          <cell r="I12">
            <v>2065030.5913463011</v>
          </cell>
        </row>
        <row r="15">
          <cell r="I15">
            <v>2277640.8669327004</v>
          </cell>
        </row>
        <row r="16">
          <cell r="I16">
            <v>97197.601109559298</v>
          </cell>
        </row>
      </sheetData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10"/>
      <sheetName val="Page 8.10.1"/>
      <sheetName val="Page 8.10.2"/>
      <sheetName val="Page 8.10.3"/>
      <sheetName val="Page 8.10.4"/>
      <sheetName val="Page 8.10.5"/>
      <sheetName val="Page 8.10.6 - 8.10.11"/>
    </sheetNames>
    <sheetDataSet>
      <sheetData sheetId="0"/>
      <sheetData sheetId="1"/>
      <sheetData sheetId="2"/>
      <sheetData sheetId="3"/>
      <sheetData sheetId="4"/>
      <sheetData sheetId="5">
        <row r="55">
          <cell r="I55">
            <v>26891641.18377804</v>
          </cell>
        </row>
      </sheetData>
      <sheetData sheetId="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11"/>
      <sheetName val="Page 8.11.1"/>
    </sheetNames>
    <sheetDataSet>
      <sheetData sheetId="0">
        <row r="22">
          <cell r="I22">
            <v>11783530.126723802</v>
          </cell>
        </row>
        <row r="28">
          <cell r="I28">
            <v>-5439564.0626561325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 8.5 - 8.5.1"/>
      <sheetName val="Pages 8.5.2 - 8.5.3"/>
    </sheetNames>
    <sheetDataSet>
      <sheetData sheetId="0">
        <row r="20">
          <cell r="I20">
            <v>-2839473.9421010017</v>
          </cell>
        </row>
        <row r="25">
          <cell r="I25">
            <v>-5721215.8555581281</v>
          </cell>
        </row>
        <row r="44">
          <cell r="I44">
            <v>-8818868.4865037892</v>
          </cell>
        </row>
        <row r="57">
          <cell r="I57">
            <v>-1812706.7974893835</v>
          </cell>
        </row>
        <row r="79">
          <cell r="I79">
            <v>-220622.54372493838</v>
          </cell>
        </row>
        <row r="88">
          <cell r="I88">
            <v>-4432655.0031998735</v>
          </cell>
        </row>
        <row r="113">
          <cell r="I113">
            <v>1058811.8610232489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8"/>
      <sheetName val="Page 8.8.1"/>
    </sheetNames>
    <sheetDataSet>
      <sheetData sheetId="0">
        <row r="11">
          <cell r="I11">
            <v>23459504.952026334</v>
          </cell>
        </row>
      </sheetData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6.3"/>
      <sheetName val="Page 6.3.1"/>
      <sheetName val="Page 6.3.2"/>
      <sheetName val="Page 6.3.3"/>
      <sheetName val="Page 6.3.4 - 6.3.6"/>
    </sheetNames>
    <sheetDataSet>
      <sheetData sheetId="0">
        <row r="55">
          <cell r="I55">
            <v>-2786210.5308332914</v>
          </cell>
        </row>
      </sheetData>
      <sheetData sheetId="1">
        <row r="56">
          <cell r="I56">
            <v>-2500111.5445833355</v>
          </cell>
        </row>
      </sheetData>
      <sheetData sheetId="2"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-216222.57299106335</v>
          </cell>
        </row>
        <row r="14">
          <cell r="I14">
            <v>10457.436230922405</v>
          </cell>
        </row>
        <row r="15">
          <cell r="I15">
            <v>0</v>
          </cell>
        </row>
        <row r="16">
          <cell r="I16">
            <v>-51434.491363601963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529877.73520541983</v>
          </cell>
        </row>
        <row r="20">
          <cell r="I20">
            <v>0</v>
          </cell>
        </row>
        <row r="21">
          <cell r="I21">
            <v>-267508.10500000045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-3113672.6911111446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-4317093.6878874153</v>
          </cell>
        </row>
        <row r="29">
          <cell r="I29">
            <v>0</v>
          </cell>
        </row>
        <row r="30">
          <cell r="I30">
            <v>-231127.35036740371</v>
          </cell>
        </row>
        <row r="31">
          <cell r="I31">
            <v>0</v>
          </cell>
        </row>
        <row r="32">
          <cell r="I32">
            <v>-1848777.9413209844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-1828603.091857679</v>
          </cell>
        </row>
        <row r="37">
          <cell r="I37">
            <v>-79092.904377982384</v>
          </cell>
        </row>
        <row r="38">
          <cell r="I38">
            <v>-81.768525821016851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-7653.4560699510866</v>
          </cell>
        </row>
        <row r="43">
          <cell r="I43">
            <v>0</v>
          </cell>
        </row>
        <row r="44">
          <cell r="I44">
            <v>-40900.163750000065</v>
          </cell>
        </row>
        <row r="45">
          <cell r="I45">
            <v>0</v>
          </cell>
        </row>
        <row r="46">
          <cell r="I46">
            <v>-33532.319514208037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-1535502.233271207</v>
          </cell>
        </row>
      </sheetData>
      <sheetData sheetId="3">
        <row r="10">
          <cell r="I10">
            <v>-357716.79269725678</v>
          </cell>
        </row>
        <row r="11">
          <cell r="I11">
            <v>0</v>
          </cell>
        </row>
        <row r="12">
          <cell r="I12">
            <v>-24203.963251892463</v>
          </cell>
        </row>
        <row r="13">
          <cell r="I13">
            <v>0</v>
          </cell>
        </row>
        <row r="14">
          <cell r="I14">
            <v>-198797.66003752995</v>
          </cell>
        </row>
        <row r="15">
          <cell r="I15">
            <v>-223799.82183728999</v>
          </cell>
        </row>
        <row r="16">
          <cell r="I16">
            <v>0</v>
          </cell>
        </row>
        <row r="17">
          <cell r="I17">
            <v>-1511.7999999999997</v>
          </cell>
        </row>
        <row r="18">
          <cell r="I18">
            <v>0</v>
          </cell>
        </row>
      </sheetData>
      <sheetData sheetId="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7.4"/>
      <sheetName val="Page 7.4.1"/>
      <sheetName val="Page 7.4.2"/>
      <sheetName val="Page 7.4.3 - 7.4.4"/>
    </sheetNames>
    <sheetDataSet>
      <sheetData sheetId="0">
        <row r="10">
          <cell r="I10">
            <v>8675778.4500000477</v>
          </cell>
        </row>
        <row r="11">
          <cell r="I11">
            <v>163378.7787528128</v>
          </cell>
        </row>
        <row r="12">
          <cell r="I12">
            <v>-2317.8953510497254</v>
          </cell>
        </row>
        <row r="13">
          <cell r="I13">
            <v>-1251486.4349806358</v>
          </cell>
        </row>
        <row r="14">
          <cell r="I14">
            <v>-601.14059020003344</v>
          </cell>
        </row>
        <row r="15">
          <cell r="I15">
            <v>26126.062735568285</v>
          </cell>
        </row>
        <row r="16">
          <cell r="I16">
            <v>27129.738226785572</v>
          </cell>
        </row>
      </sheetData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3"/>
      <sheetName val="Page 8.3.1"/>
    </sheetNames>
    <sheetDataSet>
      <sheetData sheetId="0">
        <row r="20">
          <cell r="I20">
            <v>-2502028.2767103352</v>
          </cell>
        </row>
      </sheetData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7.8"/>
      <sheetName val="Page 7.8.1"/>
    </sheetNames>
    <sheetDataSet>
      <sheetData sheetId="0">
        <row r="9">
          <cell r="I9">
            <v>-4620.2408263712532</v>
          </cell>
        </row>
      </sheetData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2"/>
      <sheetName val="Page 8.2.1"/>
      <sheetName val="Page 8.2.2"/>
      <sheetName val="Page 8.2.3"/>
      <sheetName val="Page 8.2.4"/>
      <sheetName val="Page 8.2.5 - REDACTED"/>
      <sheetName val="Page 8.2.6"/>
      <sheetName val="Page 8.2.7"/>
      <sheetName val="Page 8.2.8"/>
    </sheetNames>
    <sheetDataSet>
      <sheetData sheetId="0">
        <row r="10">
          <cell r="I10">
            <v>-16510889.820000019</v>
          </cell>
        </row>
        <row r="11">
          <cell r="I11">
            <v>-108569.81416666666</v>
          </cell>
        </row>
        <row r="12">
          <cell r="I12">
            <v>250000.00000000003</v>
          </cell>
        </row>
        <row r="15">
          <cell r="I15">
            <v>6942859.1748030642</v>
          </cell>
        </row>
        <row r="16">
          <cell r="I16">
            <v>10432577.682665162</v>
          </cell>
        </row>
        <row r="17">
          <cell r="I17">
            <v>42674.382531787138</v>
          </cell>
        </row>
        <row r="18">
          <cell r="I18">
            <v>47809.260000000009</v>
          </cell>
        </row>
        <row r="21">
          <cell r="I21">
            <v>573050.93356392439</v>
          </cell>
        </row>
        <row r="22">
          <cell r="I22">
            <v>99999.999999999985</v>
          </cell>
        </row>
        <row r="25">
          <cell r="I25">
            <v>4806530.2400000133</v>
          </cell>
        </row>
        <row r="26">
          <cell r="I26">
            <v>-1181762</v>
          </cell>
        </row>
        <row r="27">
          <cell r="I27">
            <v>4059464</v>
          </cell>
        </row>
        <row r="29">
          <cell r="I29">
            <v>573050.93356392439</v>
          </cell>
        </row>
        <row r="30">
          <cell r="I30">
            <v>-140894</v>
          </cell>
        </row>
        <row r="31">
          <cell r="I31">
            <v>70447</v>
          </cell>
        </row>
        <row r="33">
          <cell r="I33">
            <v>99999.999999999985</v>
          </cell>
        </row>
        <row r="34">
          <cell r="I34">
            <v>-24587</v>
          </cell>
        </row>
        <row r="35">
          <cell r="I35">
            <v>12294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5.2"/>
    </sheetNames>
    <sheetDataSet>
      <sheetData sheetId="0">
        <row r="13">
          <cell r="I13">
            <v>-14800952.647608532</v>
          </cell>
        </row>
        <row r="16">
          <cell r="I16">
            <v>-51010.381429092427</v>
          </cell>
        </row>
        <row r="17">
          <cell r="I17">
            <v>-129385.73364596636</v>
          </cell>
        </row>
        <row r="18">
          <cell r="I18">
            <v>128810.2550620472</v>
          </cell>
        </row>
        <row r="19">
          <cell r="I19">
            <v>-6961.5282000000007</v>
          </cell>
        </row>
        <row r="20">
          <cell r="I20">
            <v>-1751349.033038184</v>
          </cell>
        </row>
        <row r="21">
          <cell r="I21">
            <v>335709.77294431004</v>
          </cell>
        </row>
        <row r="25">
          <cell r="I25">
            <v>9065616.465612011</v>
          </cell>
        </row>
        <row r="26">
          <cell r="I26">
            <v>0</v>
          </cell>
        </row>
        <row r="27">
          <cell r="I27">
            <v>-25085685.558918811</v>
          </cell>
        </row>
        <row r="28">
          <cell r="I28">
            <v>2769.4468363333799</v>
          </cell>
        </row>
        <row r="32">
          <cell r="I32">
            <v>-4819811.2950298265</v>
          </cell>
        </row>
        <row r="33">
          <cell r="I33">
            <v>4242335.7301921304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 9.1 - 9.1.1"/>
      <sheetName val="Pages 9.1.2 - 9.1.3"/>
      <sheetName val="Page 9.1.4"/>
    </sheetNames>
    <sheetDataSet>
      <sheetData sheetId="0">
        <row r="15">
          <cell r="I15">
            <v>-2784664.3282427858</v>
          </cell>
        </row>
        <row r="24">
          <cell r="I24">
            <v>-1644071.308749404</v>
          </cell>
        </row>
        <row r="33">
          <cell r="I33">
            <v>51447.741016477754</v>
          </cell>
        </row>
        <row r="36">
          <cell r="I36">
            <v>-34105.103635032894</v>
          </cell>
        </row>
        <row r="39">
          <cell r="I39">
            <v>-372719.74523370899</v>
          </cell>
        </row>
        <row r="40">
          <cell r="I40">
            <v>307333.60092374496</v>
          </cell>
        </row>
        <row r="41">
          <cell r="I41">
            <v>-786156.98318639398</v>
          </cell>
        </row>
        <row r="42">
          <cell r="I42">
            <v>-5200.8958587409288</v>
          </cell>
        </row>
        <row r="43">
          <cell r="I43">
            <v>146787.00911093876</v>
          </cell>
        </row>
        <row r="44">
          <cell r="I44">
            <v>-588245.29424889386</v>
          </cell>
        </row>
        <row r="45">
          <cell r="I45">
            <v>341400.8038603235</v>
          </cell>
        </row>
        <row r="46">
          <cell r="I46">
            <v>-1215724.1705464125</v>
          </cell>
        </row>
        <row r="47">
          <cell r="I47">
            <v>82750.474335195497</v>
          </cell>
        </row>
        <row r="48">
          <cell r="I48">
            <v>-300554.78959586471</v>
          </cell>
        </row>
        <row r="49">
          <cell r="I49">
            <v>-72869.241650233045</v>
          </cell>
        </row>
        <row r="72">
          <cell r="I72">
            <v>-9999.7793424724368</v>
          </cell>
        </row>
        <row r="75">
          <cell r="I75">
            <v>-1809.581380937947</v>
          </cell>
        </row>
        <row r="76">
          <cell r="I76">
            <v>89425.781044893898</v>
          </cell>
        </row>
        <row r="77">
          <cell r="I77">
            <v>-14946.326466277475</v>
          </cell>
        </row>
        <row r="78">
          <cell r="I78">
            <v>-8393.6471950708074</v>
          </cell>
        </row>
        <row r="79">
          <cell r="I79">
            <v>2222.6025419664365</v>
          </cell>
        </row>
        <row r="80">
          <cell r="I80">
            <v>-6321.3777467967011</v>
          </cell>
        </row>
        <row r="81">
          <cell r="I81">
            <v>-11658.179514076386</v>
          </cell>
        </row>
        <row r="82">
          <cell r="I82">
            <v>-24656.531100000022</v>
          </cell>
        </row>
        <row r="83">
          <cell r="I83">
            <v>-21636.505171463941</v>
          </cell>
        </row>
        <row r="84">
          <cell r="I84">
            <v>-618519.09361985326</v>
          </cell>
        </row>
        <row r="85">
          <cell r="I85">
            <v>-1109.2888739171322</v>
          </cell>
        </row>
        <row r="86">
          <cell r="I86">
            <v>-24853.11750851199</v>
          </cell>
        </row>
        <row r="87">
          <cell r="I87">
            <v>-2387.3628000000026</v>
          </cell>
        </row>
        <row r="88">
          <cell r="I88">
            <v>-3255.9716378884623</v>
          </cell>
        </row>
        <row r="89">
          <cell r="I89">
            <v>-152672.65626034606</v>
          </cell>
        </row>
        <row r="90">
          <cell r="I90">
            <v>-998.10261935183371</v>
          </cell>
        </row>
        <row r="91">
          <cell r="I91">
            <v>13713.636273933575</v>
          </cell>
        </row>
        <row r="92">
          <cell r="I92">
            <v>3538.0983000000124</v>
          </cell>
        </row>
        <row r="93">
          <cell r="I93">
            <v>4144.7523169468332</v>
          </cell>
        </row>
        <row r="94">
          <cell r="I94">
            <v>146386.60865282733</v>
          </cell>
        </row>
      </sheetData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3.4"/>
      <sheetName val="Page 3.4.1"/>
    </sheetNames>
    <sheetDataSet>
      <sheetData sheetId="0">
        <row r="13">
          <cell r="I13">
            <v>456610.92888002045</v>
          </cell>
        </row>
      </sheetData>
      <sheetData sheetId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4.9"/>
      <sheetName val="Page 4.9.1"/>
    </sheetNames>
    <sheetDataSet>
      <sheetData sheetId="0">
        <row r="12">
          <cell r="I12">
            <v>877733.72</v>
          </cell>
        </row>
        <row r="15">
          <cell r="I15">
            <v>-215019.24811658546</v>
          </cell>
        </row>
        <row r="16">
          <cell r="I16">
            <v>-212892.95347148844</v>
          </cell>
        </row>
      </sheetData>
      <sheetData sheetId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9.4"/>
      <sheetName val="Page 9.4.1"/>
    </sheetNames>
    <sheetDataSet>
      <sheetData sheetId="0">
        <row r="14">
          <cell r="I14">
            <v>1033734.165704899</v>
          </cell>
        </row>
        <row r="25">
          <cell r="I25">
            <v>90319.16830408643</v>
          </cell>
        </row>
        <row r="35">
          <cell r="I35">
            <v>44073764.875732519</v>
          </cell>
        </row>
        <row r="42">
          <cell r="I42">
            <v>712849.34346295381</v>
          </cell>
        </row>
        <row r="49">
          <cell r="I49">
            <v>-4629820.4656671509</v>
          </cell>
        </row>
        <row r="52">
          <cell r="I52">
            <v>-7914497.333333333</v>
          </cell>
        </row>
      </sheetData>
      <sheetData sheetId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6.5"/>
      <sheetName val="Page 6.5.1"/>
      <sheetName val="Page 6.5.2"/>
      <sheetName val="Page 6.5.3"/>
      <sheetName val="Page 6.5.4"/>
      <sheetName val="Page 6.5.5"/>
      <sheetName val="Page 6.5.6 - 6.5.7"/>
      <sheetName val="Page 6.5.8 - 6.5.9"/>
      <sheetName val="Page 6.5.10"/>
      <sheetName val="Page 6.5.11 - 6.5.14"/>
      <sheetName val="Page 6.5.15"/>
      <sheetName val="Page 6.5.16"/>
    </sheetNames>
    <sheetDataSet>
      <sheetData sheetId="0">
        <row r="52">
          <cell r="K52">
            <v>-4358152.7536451668</v>
          </cell>
        </row>
        <row r="57">
          <cell r="K57">
            <v>-126900.64759890511</v>
          </cell>
        </row>
      </sheetData>
      <sheetData sheetId="1">
        <row r="35">
          <cell r="J35">
            <v>27800.429659557885</v>
          </cell>
        </row>
      </sheetData>
      <sheetData sheetId="2">
        <row r="9">
          <cell r="I9">
            <v>0</v>
          </cell>
        </row>
        <row r="10">
          <cell r="I10">
            <v>1.0608500325820209</v>
          </cell>
        </row>
        <row r="11">
          <cell r="I11">
            <v>1895.9019010316865</v>
          </cell>
        </row>
        <row r="12">
          <cell r="I12">
            <v>103.14069761014029</v>
          </cell>
        </row>
        <row r="13">
          <cell r="I13">
            <v>0</v>
          </cell>
        </row>
        <row r="14">
          <cell r="I14">
            <v>2273.1814697191126</v>
          </cell>
        </row>
        <row r="15">
          <cell r="I15">
            <v>3897.4784330237621</v>
          </cell>
        </row>
        <row r="16">
          <cell r="I16">
            <v>0</v>
          </cell>
        </row>
        <row r="17">
          <cell r="I17">
            <v>9802.0124723746867</v>
          </cell>
        </row>
        <row r="18">
          <cell r="I18">
            <v>0</v>
          </cell>
        </row>
        <row r="19">
          <cell r="I19">
            <v>625.83751495093259</v>
          </cell>
        </row>
        <row r="20">
          <cell r="I20">
            <v>48.577376270642837</v>
          </cell>
        </row>
        <row r="21">
          <cell r="I21">
            <v>4683.0415260052232</v>
          </cell>
        </row>
        <row r="22">
          <cell r="I22">
            <v>6066.0179805830303</v>
          </cell>
        </row>
        <row r="23">
          <cell r="I23">
            <v>6925.4914116181471</v>
          </cell>
        </row>
        <row r="24">
          <cell r="I24">
            <v>0</v>
          </cell>
        </row>
        <row r="25">
          <cell r="I25">
            <v>18936.5795198589</v>
          </cell>
        </row>
        <row r="26">
          <cell r="I26">
            <v>236.94704355807937</v>
          </cell>
        </row>
        <row r="27">
          <cell r="I27">
            <v>965.93014068278751</v>
          </cell>
        </row>
        <row r="28">
          <cell r="I28">
            <v>0</v>
          </cell>
        </row>
        <row r="29">
          <cell r="I29">
            <v>2014.8941859417698</v>
          </cell>
        </row>
        <row r="30">
          <cell r="I30">
            <v>529.28717783446348</v>
          </cell>
        </row>
        <row r="31">
          <cell r="I31">
            <v>0</v>
          </cell>
        </row>
        <row r="32">
          <cell r="I32">
            <v>660.11127420135347</v>
          </cell>
        </row>
        <row r="33">
          <cell r="I33">
            <v>0</v>
          </cell>
        </row>
        <row r="34">
          <cell r="I34">
            <v>3195.1938773600605</v>
          </cell>
        </row>
        <row r="35">
          <cell r="I35">
            <v>1336.9490433986118</v>
          </cell>
        </row>
        <row r="36">
          <cell r="I36">
            <v>72.313039021909177</v>
          </cell>
        </row>
        <row r="37">
          <cell r="I37">
            <v>18958.771457057868</v>
          </cell>
        </row>
        <row r="38">
          <cell r="I38">
            <v>1955.1746500019472</v>
          </cell>
        </row>
        <row r="39">
          <cell r="I39">
            <v>8831.773860713316</v>
          </cell>
        </row>
        <row r="40">
          <cell r="I40">
            <v>3489.579049935136</v>
          </cell>
        </row>
        <row r="41">
          <cell r="I41">
            <v>988.46787612792707</v>
          </cell>
        </row>
        <row r="42">
          <cell r="I42">
            <v>1401.7308068505172</v>
          </cell>
        </row>
        <row r="43">
          <cell r="I43">
            <v>15.127230528843169</v>
          </cell>
        </row>
        <row r="44">
          <cell r="I44">
            <v>13436.42380860254</v>
          </cell>
        </row>
        <row r="45">
          <cell r="I45">
            <v>0.13623999231382991</v>
          </cell>
        </row>
        <row r="46">
          <cell r="I46">
            <v>624.46022118824385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10480.971229752353</v>
          </cell>
        </row>
        <row r="52">
          <cell r="I52">
            <v>17.087637409889062</v>
          </cell>
        </row>
        <row r="53">
          <cell r="I53">
            <v>3966.3225690023019</v>
          </cell>
        </row>
        <row r="54">
          <cell r="I54">
            <v>26857.18983444613</v>
          </cell>
        </row>
        <row r="55">
          <cell r="I55">
            <v>2617.3159202311349</v>
          </cell>
        </row>
      </sheetData>
      <sheetData sheetId="3">
        <row r="53">
          <cell r="K53">
            <v>2179076.376822582</v>
          </cell>
        </row>
        <row r="58">
          <cell r="K58">
            <v>-5702.0466577879015</v>
          </cell>
        </row>
      </sheetData>
      <sheetData sheetId="4">
        <row r="36">
          <cell r="J36">
            <v>-13900.214829778943</v>
          </cell>
        </row>
      </sheetData>
      <sheetData sheetId="5">
        <row r="10">
          <cell r="I10">
            <v>-124115.6198306719</v>
          </cell>
        </row>
        <row r="13">
          <cell r="I13">
            <v>62057.809915335951</v>
          </cell>
        </row>
        <row r="17">
          <cell r="I17">
            <v>6015579.4639304848</v>
          </cell>
        </row>
        <row r="18">
          <cell r="I18">
            <v>1082983.1110001639</v>
          </cell>
        </row>
        <row r="21">
          <cell r="I21">
            <v>-3007789.7319652434</v>
          </cell>
        </row>
        <row r="22">
          <cell r="I22">
            <v>-541491.55550008209</v>
          </cell>
        </row>
        <row r="26">
          <cell r="I26">
            <v>-124115.6198306719</v>
          </cell>
        </row>
        <row r="27">
          <cell r="I27">
            <v>30515.796765709394</v>
          </cell>
        </row>
        <row r="28">
          <cell r="I28">
            <v>-15257.898382854697</v>
          </cell>
        </row>
        <row r="30">
          <cell r="I30">
            <v>6015579.4639304848</v>
          </cell>
        </row>
        <row r="31">
          <cell r="I31">
            <v>-1479026.4762423714</v>
          </cell>
        </row>
        <row r="32">
          <cell r="I32">
            <v>739513.23812118568</v>
          </cell>
        </row>
        <row r="34">
          <cell r="I34">
            <v>1082983.1110001639</v>
          </cell>
        </row>
        <row r="35">
          <cell r="I35">
            <v>-266268.74536437652</v>
          </cell>
        </row>
        <row r="36">
          <cell r="I36">
            <v>133134.41173770896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9.2"/>
      <sheetName val="Page 9.2.1"/>
      <sheetName val="Page 9.2.2"/>
      <sheetName val="Page 9.2.3"/>
    </sheetNames>
    <sheetDataSet>
      <sheetData sheetId="0">
        <row r="9">
          <cell r="I9">
            <v>0</v>
          </cell>
        </row>
        <row r="10">
          <cell r="I10">
            <v>-178120019.34837499</v>
          </cell>
        </row>
        <row r="11">
          <cell r="I11">
            <v>80540695.980197445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-157037120.9363665</v>
          </cell>
        </row>
        <row r="15">
          <cell r="I15">
            <v>158027313.09768519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12254273.458731979</v>
          </cell>
        </row>
        <row r="20">
          <cell r="I20">
            <v>0</v>
          </cell>
        </row>
        <row r="21">
          <cell r="I21">
            <v>-21686072.997466974</v>
          </cell>
        </row>
        <row r="22">
          <cell r="I22">
            <v>8676905.0242986549</v>
          </cell>
        </row>
        <row r="25">
          <cell r="I25">
            <v>0</v>
          </cell>
        </row>
        <row r="26">
          <cell r="I26">
            <v>-4515953.7256995607</v>
          </cell>
        </row>
        <row r="27">
          <cell r="I27">
            <v>2278585.7593657416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-5195237.0398887442</v>
          </cell>
        </row>
        <row r="31">
          <cell r="I31">
            <v>5226759.3213198893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425491.41318590491</v>
          </cell>
        </row>
        <row r="36">
          <cell r="I36">
            <v>0</v>
          </cell>
        </row>
        <row r="37">
          <cell r="I37">
            <v>-663149.78862836375</v>
          </cell>
        </row>
        <row r="38">
          <cell r="I38">
            <v>280312.94431305723</v>
          </cell>
        </row>
        <row r="41">
          <cell r="I41">
            <v>0</v>
          </cell>
        </row>
        <row r="42">
          <cell r="I42">
            <v>64404599.236890756</v>
          </cell>
        </row>
        <row r="43">
          <cell r="I43">
            <v>-30841786.956200898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69905298.585277349</v>
          </cell>
        </row>
        <row r="47">
          <cell r="I47">
            <v>-65653420.571138695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-6738221.8361046445</v>
          </cell>
        </row>
        <row r="52">
          <cell r="I52">
            <v>0</v>
          </cell>
        </row>
        <row r="53">
          <cell r="I53">
            <v>9324711.8934354763</v>
          </cell>
        </row>
        <row r="54">
          <cell r="I54">
            <v>-3961235.7509628385</v>
          </cell>
        </row>
      </sheetData>
      <sheetData sheetId="1">
        <row r="10">
          <cell r="I10">
            <v>0</v>
          </cell>
        </row>
        <row r="11">
          <cell r="I11">
            <v>-7003959.7996118646</v>
          </cell>
        </row>
        <row r="12">
          <cell r="I12">
            <v>3389153.4117101096</v>
          </cell>
        </row>
        <row r="14">
          <cell r="I14">
            <v>0</v>
          </cell>
        </row>
        <row r="15">
          <cell r="I15">
            <v>-1284981.6408962309</v>
          </cell>
        </row>
        <row r="16">
          <cell r="I16">
            <v>1293618.4903127083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339903.47444253182</v>
          </cell>
        </row>
        <row r="21">
          <cell r="I21">
            <v>263779.47855041223</v>
          </cell>
        </row>
        <row r="25">
          <cell r="I25">
            <v>0</v>
          </cell>
        </row>
        <row r="26">
          <cell r="I26">
            <v>-1295237.5649035636</v>
          </cell>
        </row>
        <row r="27">
          <cell r="I27">
            <v>2620077.8832596974</v>
          </cell>
        </row>
        <row r="29">
          <cell r="I29">
            <v>0</v>
          </cell>
        </row>
        <row r="30">
          <cell r="I30">
            <v>-162925.28283877653</v>
          </cell>
        </row>
        <row r="31">
          <cell r="I31">
            <v>128033.29206805918</v>
          </cell>
        </row>
        <row r="33">
          <cell r="I33">
            <v>0</v>
          </cell>
        </row>
        <row r="34">
          <cell r="I34">
            <v>278396.92450750916</v>
          </cell>
        </row>
        <row r="35">
          <cell r="I35">
            <v>-612709.10140059236</v>
          </cell>
        </row>
        <row r="37">
          <cell r="I37">
            <v>0</v>
          </cell>
        </row>
        <row r="38">
          <cell r="I38">
            <v>-122242.78052769431</v>
          </cell>
        </row>
        <row r="39">
          <cell r="I39">
            <v>293283.44903246791</v>
          </cell>
        </row>
        <row r="40">
          <cell r="I40">
            <v>0</v>
          </cell>
        </row>
        <row r="41">
          <cell r="I41">
            <v>7469340.6199999955</v>
          </cell>
        </row>
        <row r="42">
          <cell r="I42">
            <v>-1964999.7999999938</v>
          </cell>
        </row>
        <row r="43">
          <cell r="I43">
            <v>-1205864.47</v>
          </cell>
        </row>
      </sheetData>
      <sheetData sheetId="2"/>
      <sheetData sheetId="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5.4"/>
      <sheetName val="Pages 5.4.1 - 5.4.2"/>
    </sheetNames>
    <sheetDataSet>
      <sheetData sheetId="0">
        <row r="12">
          <cell r="I12">
            <v>160000</v>
          </cell>
        </row>
      </sheetData>
      <sheetData sheetId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5.5"/>
      <sheetName val="Page 5.5.1"/>
      <sheetName val="Page 5.5.2"/>
    </sheetNames>
    <sheetDataSet>
      <sheetData sheetId="0">
        <row r="12">
          <cell r="I12">
            <v>39055.520699857421</v>
          </cell>
        </row>
        <row r="13">
          <cell r="I13">
            <v>737.58465057384717</v>
          </cell>
        </row>
        <row r="18">
          <cell r="I18">
            <v>312444.16559885937</v>
          </cell>
        </row>
        <row r="19">
          <cell r="I19">
            <v>-30.732693773910306</v>
          </cell>
        </row>
        <row r="22">
          <cell r="I22">
            <v>-368.79232528692364</v>
          </cell>
        </row>
        <row r="25">
          <cell r="I25">
            <v>30.732693773910306</v>
          </cell>
        </row>
        <row r="26">
          <cell r="I26">
            <v>104137.64039409981</v>
          </cell>
        </row>
        <row r="27">
          <cell r="I27">
            <v>25596.363378355356</v>
          </cell>
        </row>
        <row r="28">
          <cell r="I28">
            <v>-25596.363378355356</v>
          </cell>
        </row>
        <row r="31">
          <cell r="I31">
            <v>706.85195679993683</v>
          </cell>
        </row>
        <row r="32">
          <cell r="I32">
            <v>-173.79706711436552</v>
          </cell>
        </row>
        <row r="33">
          <cell r="I33">
            <v>86.93758907788262</v>
          </cell>
        </row>
      </sheetData>
      <sheetData sheetId="1"/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13"/>
      <sheetName val="Page 8.13.1 - REDACTED"/>
      <sheetName val="Page 8.13.2 - REDACTED"/>
    </sheetNames>
    <sheetDataSet>
      <sheetData sheetId="0">
        <row r="9">
          <cell r="I9">
            <v>128014922.87329482</v>
          </cell>
        </row>
        <row r="10">
          <cell r="I10">
            <v>61027483.562753461</v>
          </cell>
        </row>
        <row r="14">
          <cell r="I14">
            <v>176812.6915833067</v>
          </cell>
        </row>
        <row r="15">
          <cell r="I15">
            <v>58981.150110529925</v>
          </cell>
        </row>
        <row r="19">
          <cell r="I19">
            <v>-176812.6915833067</v>
          </cell>
        </row>
        <row r="20">
          <cell r="I20">
            <v>-59613.996016169964</v>
          </cell>
        </row>
        <row r="24">
          <cell r="I24">
            <v>1557310.668266339</v>
          </cell>
        </row>
        <row r="27">
          <cell r="I27">
            <v>235794.11311748478</v>
          </cell>
        </row>
        <row r="28">
          <cell r="I28">
            <v>27932611.43300163</v>
          </cell>
        </row>
        <row r="29">
          <cell r="I29">
            <v>6809705.3489177302</v>
          </cell>
        </row>
        <row r="30">
          <cell r="I30">
            <v>2437.9237131264999</v>
          </cell>
        </row>
        <row r="31">
          <cell r="I31">
            <v>-6399081.0807086639</v>
          </cell>
        </row>
      </sheetData>
      <sheetData sheetId="1"/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6.1"/>
      <sheetName val="Page 6.1.1"/>
      <sheetName val="Pages 6.1.2 - 6.1.3"/>
      <sheetName val="Pages 6.1.4 - 6.1.11"/>
    </sheetNames>
    <sheetDataSet>
      <sheetData sheetId="0">
        <row r="11">
          <cell r="I11">
            <v>0</v>
          </cell>
        </row>
        <row r="12">
          <cell r="I12">
            <v>-87007.653752948303</v>
          </cell>
        </row>
        <row r="13">
          <cell r="I13">
            <v>209603.14043700826</v>
          </cell>
        </row>
        <row r="14">
          <cell r="I14">
            <v>83499.885006662022</v>
          </cell>
        </row>
        <row r="15">
          <cell r="I15">
            <v>0</v>
          </cell>
        </row>
        <row r="16">
          <cell r="I16">
            <v>-2093198.7586377843</v>
          </cell>
        </row>
        <row r="17">
          <cell r="I17">
            <v>0</v>
          </cell>
        </row>
        <row r="18">
          <cell r="I18">
            <v>-140140.38916322991</v>
          </cell>
        </row>
        <row r="19">
          <cell r="I19">
            <v>0</v>
          </cell>
        </row>
        <row r="20">
          <cell r="I20">
            <v>-92898.519955918135</v>
          </cell>
        </row>
        <row r="21">
          <cell r="I21">
            <v>0</v>
          </cell>
        </row>
        <row r="22">
          <cell r="I22">
            <v>782009.46467755246</v>
          </cell>
        </row>
        <row r="23">
          <cell r="I23">
            <v>-9887.3067562233118</v>
          </cell>
        </row>
        <row r="24">
          <cell r="I24">
            <v>43822.491740344005</v>
          </cell>
        </row>
        <row r="25">
          <cell r="I25">
            <v>5858.3183705835345</v>
          </cell>
        </row>
        <row r="26">
          <cell r="I26">
            <v>11223.713453145201</v>
          </cell>
        </row>
        <row r="27">
          <cell r="I27">
            <v>94237.170405664714</v>
          </cell>
        </row>
        <row r="28">
          <cell r="I28">
            <v>113419.08971969123</v>
          </cell>
        </row>
        <row r="29">
          <cell r="I29">
            <v>72152.955744304811</v>
          </cell>
        </row>
        <row r="30">
          <cell r="I30">
            <v>35786.302727367802</v>
          </cell>
        </row>
        <row r="31">
          <cell r="I31">
            <v>83547.609904863173</v>
          </cell>
        </row>
        <row r="32">
          <cell r="I32">
            <v>128678.3976123027</v>
          </cell>
        </row>
        <row r="33">
          <cell r="I33">
            <v>77054.096102741198</v>
          </cell>
        </row>
        <row r="34">
          <cell r="I34">
            <v>21804.430068932274</v>
          </cell>
        </row>
        <row r="35">
          <cell r="I35">
            <v>809.11042958383007</v>
          </cell>
        </row>
        <row r="36">
          <cell r="I36">
            <v>5758.1502132951946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33677.475808136864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24830.652575106906</v>
          </cell>
        </row>
        <row r="46">
          <cell r="I46">
            <v>352.37147816400596</v>
          </cell>
        </row>
        <row r="47">
          <cell r="I47">
            <v>57350.068551021031</v>
          </cell>
        </row>
        <row r="48">
          <cell r="I48">
            <v>-933.03612852260915</v>
          </cell>
        </row>
        <row r="49">
          <cell r="I49">
            <v>0</v>
          </cell>
        </row>
        <row r="50">
          <cell r="I50">
            <v>-14862.669177919639</v>
          </cell>
        </row>
        <row r="51">
          <cell r="I51">
            <v>0</v>
          </cell>
        </row>
      </sheetData>
      <sheetData sheetId="1">
        <row r="10">
          <cell r="I10">
            <v>0</v>
          </cell>
        </row>
        <row r="11">
          <cell r="I11">
            <v>64896.587452669643</v>
          </cell>
        </row>
        <row r="12">
          <cell r="I12">
            <v>62.437922679898911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-592837.50952529919</v>
          </cell>
        </row>
        <row r="17">
          <cell r="I17">
            <v>0</v>
          </cell>
        </row>
        <row r="18">
          <cell r="I18">
            <v>-1695077.441537682</v>
          </cell>
        </row>
        <row r="19">
          <cell r="I19">
            <v>326295.52022081375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123.11298871157116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-374.02735307692325</v>
          </cell>
        </row>
        <row r="32">
          <cell r="I32">
            <v>0</v>
          </cell>
        </row>
        <row r="33">
          <cell r="I33">
            <v>-1526.1600000000035</v>
          </cell>
        </row>
        <row r="34">
          <cell r="I34">
            <v>0</v>
          </cell>
        </row>
        <row r="35">
          <cell r="I35">
            <v>0</v>
          </cell>
        </row>
      </sheetData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6.4"/>
      <sheetName val="Page 6.4.1"/>
      <sheetName val="Page 6.4.2"/>
      <sheetName val="Page 6.4.3"/>
    </sheetNames>
    <sheetDataSet>
      <sheetData sheetId="0">
        <row r="11">
          <cell r="I11">
            <v>70170521.692172319</v>
          </cell>
        </row>
        <row r="12">
          <cell r="I12">
            <v>4697956.3986603674</v>
          </cell>
        </row>
        <row r="15">
          <cell r="I15">
            <v>815981.19002637116</v>
          </cell>
        </row>
        <row r="16">
          <cell r="I16">
            <v>94743.192104612128</v>
          </cell>
        </row>
        <row r="21">
          <cell r="I21">
            <v>-29451534.318962794</v>
          </cell>
        </row>
        <row r="22">
          <cell r="I22">
            <v>-2348978.1993301827</v>
          </cell>
        </row>
        <row r="25">
          <cell r="I25">
            <v>-407990.59501318558</v>
          </cell>
        </row>
        <row r="26">
          <cell r="I26">
            <v>-47371.596052306064</v>
          </cell>
        </row>
        <row r="31">
          <cell r="I31">
            <v>70170521.692172319</v>
          </cell>
        </row>
        <row r="32">
          <cell r="I32">
            <v>4697956.3986603674</v>
          </cell>
        </row>
        <row r="33">
          <cell r="I33">
            <v>-17252545.490988556</v>
          </cell>
        </row>
        <row r="34">
          <cell r="I34">
            <v>-1155067.6933854043</v>
          </cell>
        </row>
        <row r="35">
          <cell r="I35">
            <v>-3105294.56</v>
          </cell>
        </row>
        <row r="36">
          <cell r="I36">
            <v>-241328.62000000002</v>
          </cell>
        </row>
        <row r="37">
          <cell r="I37">
            <v>8626272.7454942781</v>
          </cell>
        </row>
        <row r="38">
          <cell r="I38">
            <v>577533.84669270215</v>
          </cell>
        </row>
        <row r="41">
          <cell r="I41">
            <v>815981.19002637116</v>
          </cell>
        </row>
        <row r="42">
          <cell r="I42">
            <v>94743.192104612128</v>
          </cell>
        </row>
        <row r="43">
          <cell r="I43">
            <v>-200621.93321619471</v>
          </cell>
        </row>
        <row r="44">
          <cell r="I44">
            <v>-23294.089984287511</v>
          </cell>
        </row>
        <row r="45">
          <cell r="I45">
            <v>100311.07449406115</v>
          </cell>
        </row>
        <row r="46">
          <cell r="I46">
            <v>11647.152878107539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6"/>
      <sheetName val="Page 8.6.1"/>
    </sheetNames>
    <sheetDataSet>
      <sheetData sheetId="0">
        <row r="9">
          <cell r="I9">
            <v>-208716</v>
          </cell>
        </row>
        <row r="13">
          <cell r="I13">
            <v>208716</v>
          </cell>
        </row>
        <row r="17">
          <cell r="I17">
            <v>-119616.25699999859</v>
          </cell>
        </row>
      </sheetData>
      <sheetData sheetId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12"/>
      <sheetName val="Page 8.12.1- REDACTED"/>
      <sheetName val="Page 8.12.2- REDACTED"/>
    </sheetNames>
    <sheetDataSet>
      <sheetData sheetId="0">
        <row r="9">
          <cell r="I9">
            <v>90110564.935484245</v>
          </cell>
        </row>
        <row r="10">
          <cell r="I10">
            <v>-101067177.97425576</v>
          </cell>
        </row>
        <row r="13">
          <cell r="I13">
            <v>2571815.6425185059</v>
          </cell>
        </row>
        <row r="14">
          <cell r="I14">
            <v>-2977697.9565962297</v>
          </cell>
        </row>
        <row r="17">
          <cell r="I17">
            <v>-3002449.068797146</v>
          </cell>
        </row>
        <row r="18">
          <cell r="I18">
            <v>101067177.97425576</v>
          </cell>
        </row>
        <row r="22">
          <cell r="I22">
            <v>114467.90373025351</v>
          </cell>
        </row>
        <row r="23">
          <cell r="I23">
            <v>3247671.0408995287</v>
          </cell>
        </row>
        <row r="24">
          <cell r="I24">
            <v>770348.11849101284</v>
          </cell>
        </row>
        <row r="25">
          <cell r="I25">
            <v>843.44302503412075</v>
          </cell>
        </row>
        <row r="26">
          <cell r="I26">
            <v>-744140.61432474619</v>
          </cell>
        </row>
      </sheetData>
      <sheetData sheetId="1"/>
      <sheetData sheetId="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9.3"/>
      <sheetName val="Page 9.3.1"/>
    </sheetNames>
    <sheetDataSet>
      <sheetData sheetId="0">
        <row r="12">
          <cell r="I12">
            <v>1528890.0839013197</v>
          </cell>
        </row>
        <row r="19">
          <cell r="I19">
            <v>151343.27845627139</v>
          </cell>
        </row>
        <row r="26">
          <cell r="I26">
            <v>-58067.818726323545</v>
          </cell>
        </row>
        <row r="34">
          <cell r="I34">
            <v>-169265.31047110166</v>
          </cell>
        </row>
        <row r="39">
          <cell r="I39">
            <v>72162.666776776779</v>
          </cell>
        </row>
        <row r="46">
          <cell r="I46">
            <v>59359.156841469601</v>
          </cell>
        </row>
        <row r="52">
          <cell r="I52">
            <v>-42956.068551157121</v>
          </cell>
        </row>
      </sheetData>
      <sheetData sheetId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7.2"/>
      <sheetName val="Page 7.2.1"/>
    </sheetNames>
    <sheetDataSet>
      <sheetData sheetId="0">
        <row r="9">
          <cell r="I9">
            <v>2141949</v>
          </cell>
        </row>
      </sheetData>
      <sheetData sheetId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7.9"/>
      <sheetName val="Page 7.9.1"/>
    </sheetNames>
    <sheetDataSet>
      <sheetData sheetId="0">
        <row r="9">
          <cell r="I9">
            <v>-3308</v>
          </cell>
        </row>
      </sheetData>
      <sheetData sheetId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7.10"/>
      <sheetName val="Page 7.10.1"/>
    </sheetNames>
    <sheetDataSet>
      <sheetData sheetId="0">
        <row r="9">
          <cell r="I9">
            <v>180412.60365467297</v>
          </cell>
        </row>
      </sheetData>
      <sheetData sheetId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7.6"/>
      <sheetName val="Page 7.6.1"/>
      <sheetName val="Page 7.6.2 - 7.6.3"/>
    </sheetNames>
    <sheetDataSet>
      <sheetData sheetId="0">
        <row r="10">
          <cell r="H10">
            <v>2152429</v>
          </cell>
        </row>
        <row r="12">
          <cell r="H12">
            <v>-2171774</v>
          </cell>
        </row>
        <row r="14">
          <cell r="H14">
            <v>27657922</v>
          </cell>
        </row>
        <row r="15">
          <cell r="H15">
            <v>76999</v>
          </cell>
        </row>
      </sheetData>
      <sheetData sheetId="1" refreshError="1"/>
      <sheetData sheetId="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7.12"/>
      <sheetName val="Page 7.12.1"/>
      <sheetName val="Page 7.12.2"/>
    </sheetNames>
    <sheetDataSet>
      <sheetData sheetId="0">
        <row r="9">
          <cell r="I9">
            <v>-126900.64759890505</v>
          </cell>
        </row>
        <row r="10">
          <cell r="I10">
            <v>31200.986820867693</v>
          </cell>
        </row>
        <row r="11">
          <cell r="I11">
            <v>129574.77924917304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226127.16784220713</v>
          </cell>
        </row>
        <row r="18">
          <cell r="I18">
            <v>3433459.4175684345</v>
          </cell>
        </row>
        <row r="19">
          <cell r="I19">
            <v>736576.04085531004</v>
          </cell>
        </row>
        <row r="20">
          <cell r="I20">
            <v>-37140.651975086534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111489.29755777377</v>
          </cell>
        </row>
        <row r="26">
          <cell r="I26">
            <v>0</v>
          </cell>
        </row>
        <row r="27">
          <cell r="I27">
            <v>135331.14754165555</v>
          </cell>
        </row>
        <row r="28">
          <cell r="I28">
            <v>523.27030525001885</v>
          </cell>
        </row>
        <row r="29">
          <cell r="I29">
            <v>0</v>
          </cell>
        </row>
        <row r="30">
          <cell r="I30">
            <v>155540.76616223023</v>
          </cell>
        </row>
        <row r="31">
          <cell r="I31">
            <v>-8614878.261531001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-55597.089488328005</v>
          </cell>
        </row>
        <row r="38">
          <cell r="I38">
            <v>-844170.98537591414</v>
          </cell>
        </row>
        <row r="39">
          <cell r="I39">
            <v>-181099.10498191303</v>
          </cell>
        </row>
        <row r="40">
          <cell r="I40">
            <v>9131.6837465382687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-27411</v>
          </cell>
        </row>
        <row r="46">
          <cell r="I46">
            <v>0</v>
          </cell>
        </row>
        <row r="47">
          <cell r="I47">
            <v>-33273.310557325844</v>
          </cell>
        </row>
        <row r="48">
          <cell r="I48">
            <v>-128.66444258922718</v>
          </cell>
        </row>
        <row r="49">
          <cell r="I49">
            <v>0</v>
          </cell>
        </row>
        <row r="50">
          <cell r="I50">
            <v>-38242.150425762185</v>
          </cell>
        </row>
        <row r="51">
          <cell r="I51">
            <v>2118105.7074822364</v>
          </cell>
        </row>
      </sheetData>
      <sheetData sheetId="1"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27798.544744164003</v>
          </cell>
        </row>
        <row r="14">
          <cell r="I14">
            <v>422085.49268795707</v>
          </cell>
        </row>
        <row r="15">
          <cell r="I15">
            <v>90549.552490956514</v>
          </cell>
        </row>
        <row r="16">
          <cell r="I16">
            <v>-4565.9497592329171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13706</v>
          </cell>
        </row>
        <row r="22">
          <cell r="I22">
            <v>0</v>
          </cell>
        </row>
        <row r="23">
          <cell r="I23">
            <v>16636.655278662922</v>
          </cell>
        </row>
        <row r="24">
          <cell r="I24">
            <v>64.36690173736001</v>
          </cell>
        </row>
        <row r="25">
          <cell r="I25">
            <v>0</v>
          </cell>
        </row>
        <row r="26">
          <cell r="I26">
            <v>19121.114268401794</v>
          </cell>
        </row>
        <row r="27">
          <cell r="I27">
            <v>-1059052.8537411182</v>
          </cell>
        </row>
        <row r="31">
          <cell r="I31">
            <v>-12239205.407033948</v>
          </cell>
        </row>
        <row r="32">
          <cell r="I32">
            <v>17920124.609870076</v>
          </cell>
        </row>
        <row r="33">
          <cell r="I33">
            <v>3009204.4824821595</v>
          </cell>
        </row>
        <row r="34">
          <cell r="I34">
            <v>4405949.3679882642</v>
          </cell>
        </row>
        <row r="35">
          <cell r="I35">
            <v>1652647</v>
          </cell>
        </row>
      </sheetData>
      <sheetData sheetId="2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4"/>
      <sheetName val="Page 8.4.1"/>
      <sheetName val="Page 8.4.2"/>
      <sheetName val="Page 8.4.3"/>
      <sheetName val="Page 8.4.4 - 8.4.5"/>
      <sheetName val="Pages 8.4.6 - 8.4.19"/>
      <sheetName val="Page 8.4.20"/>
      <sheetName val="Page 8.4.21"/>
      <sheetName val="Page 8.4.22"/>
      <sheetName val="Page 8.4.23"/>
      <sheetName val="Page 8.4.24 - 8.4.25"/>
      <sheetName val="Page 8.4.26"/>
      <sheetName val="Page 8.4.27"/>
      <sheetName val="Page 8.4.28"/>
    </sheetNames>
    <sheetDataSet>
      <sheetData sheetId="0">
        <row r="67">
          <cell r="J67">
            <v>72054929.707660571</v>
          </cell>
        </row>
      </sheetData>
      <sheetData sheetId="1"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28709.078268767989</v>
          </cell>
        </row>
        <row r="14">
          <cell r="I14">
            <v>25560.182620044565</v>
          </cell>
        </row>
        <row r="15">
          <cell r="I15">
            <v>186615.14294507538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255050.41646389788</v>
          </cell>
        </row>
        <row r="21">
          <cell r="I21">
            <v>0</v>
          </cell>
        </row>
        <row r="22">
          <cell r="I22">
            <v>53143.649417386092</v>
          </cell>
        </row>
        <row r="23">
          <cell r="I23">
            <v>74740.758792998269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365763.6252949335</v>
          </cell>
        </row>
        <row r="29">
          <cell r="I29">
            <v>166573.33881814193</v>
          </cell>
        </row>
        <row r="30">
          <cell r="I30">
            <v>1095253.5573447184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1125869</v>
          </cell>
        </row>
        <row r="36">
          <cell r="I36">
            <v>0</v>
          </cell>
        </row>
        <row r="37">
          <cell r="I37">
            <v>987968.27266958565</v>
          </cell>
        </row>
        <row r="38">
          <cell r="I38">
            <v>288647.38569847931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82870.445360795347</v>
          </cell>
        </row>
        <row r="44">
          <cell r="I44">
            <v>34670.449093299198</v>
          </cell>
        </row>
        <row r="45">
          <cell r="I45">
            <v>223403.13332865687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214103</v>
          </cell>
        </row>
        <row r="51">
          <cell r="I51">
            <v>0</v>
          </cell>
        </row>
        <row r="52">
          <cell r="I52">
            <v>229841.75633292602</v>
          </cell>
        </row>
        <row r="53">
          <cell r="I53">
            <v>52592.033853110537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-82870.445360795347</v>
          </cell>
        </row>
      </sheetData>
      <sheetData sheetId="2">
        <row r="9">
          <cell r="I9">
            <v>-34670.449093299198</v>
          </cell>
        </row>
        <row r="10">
          <cell r="I10">
            <v>-223403.13332865687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-214103</v>
          </cell>
        </row>
        <row r="16">
          <cell r="I16">
            <v>0</v>
          </cell>
        </row>
        <row r="17">
          <cell r="I17">
            <v>-229841.75633292602</v>
          </cell>
        </row>
        <row r="18">
          <cell r="I18">
            <v>-52592.033853110537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-1925980.7971588091</v>
          </cell>
        </row>
        <row r="25">
          <cell r="I25">
            <v>-2211657.4612137466</v>
          </cell>
        </row>
        <row r="26">
          <cell r="I26">
            <v>595394.32173247705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427430.24409671465</v>
          </cell>
        </row>
        <row r="32">
          <cell r="I32">
            <v>0</v>
          </cell>
        </row>
        <row r="33">
          <cell r="I33">
            <v>330127.91200137173</v>
          </cell>
        </row>
        <row r="34">
          <cell r="I34">
            <v>50033.918274750002</v>
          </cell>
        </row>
        <row r="35">
          <cell r="I35">
            <v>0</v>
          </cell>
        </row>
        <row r="36">
          <cell r="I36">
            <v>43822.491740344005</v>
          </cell>
        </row>
        <row r="37">
          <cell r="I37">
            <v>-392769.30436635023</v>
          </cell>
        </row>
        <row r="38">
          <cell r="I38">
            <v>7888.5280078210471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473533.2880091829</v>
          </cell>
        </row>
        <row r="44">
          <cell r="I44">
            <v>543771.36587060243</v>
          </cell>
        </row>
        <row r="45">
          <cell r="I45">
            <v>-146387.22767852107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-105091</v>
          </cell>
        </row>
        <row r="51">
          <cell r="I51">
            <v>0</v>
          </cell>
        </row>
        <row r="52">
          <cell r="I52">
            <v>-81167.252319754683</v>
          </cell>
        </row>
        <row r="53">
          <cell r="I53">
            <v>-12301.638568354483</v>
          </cell>
        </row>
        <row r="54">
          <cell r="I54">
            <v>0</v>
          </cell>
        </row>
        <row r="55">
          <cell r="I55">
            <v>-10774.355431101389</v>
          </cell>
        </row>
        <row r="56">
          <cell r="I56">
            <v>96568.602371426052</v>
          </cell>
        </row>
        <row r="57">
          <cell r="I57">
            <v>-1939.5738568945085</v>
          </cell>
        </row>
      </sheetData>
      <sheetData sheetId="3"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-236766.75189055523</v>
          </cell>
        </row>
        <row r="13">
          <cell r="I13">
            <v>-271885.79082126502</v>
          </cell>
        </row>
        <row r="14">
          <cell r="I14">
            <v>73193.721725224314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52546</v>
          </cell>
        </row>
        <row r="20">
          <cell r="I20">
            <v>0</v>
          </cell>
        </row>
        <row r="21">
          <cell r="I21">
            <v>40583.659668687818</v>
          </cell>
        </row>
        <row r="22">
          <cell r="I22">
            <v>6150.8539646199879</v>
          </cell>
        </row>
        <row r="23">
          <cell r="I23">
            <v>0</v>
          </cell>
        </row>
        <row r="24">
          <cell r="I24">
            <v>5387.1777155506943</v>
          </cell>
        </row>
        <row r="25">
          <cell r="I25">
            <v>-48284.340241233724</v>
          </cell>
        </row>
        <row r="26">
          <cell r="I26">
            <v>969.89481441103737</v>
          </cell>
        </row>
        <row r="27">
          <cell r="I2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6.2"/>
      <sheetName val="Page 6.2.1"/>
      <sheetName val="Pages 6.2.2 - 6.2.3"/>
      <sheetName val="Pages 6.2.4 - 6.2.9"/>
      <sheetName val="Page 6.2.10"/>
    </sheetNames>
    <sheetDataSet>
      <sheetData sheetId="0">
        <row r="11">
          <cell r="I11">
            <v>0</v>
          </cell>
        </row>
        <row r="12">
          <cell r="I12">
            <v>-196944.22750008258</v>
          </cell>
        </row>
        <row r="13">
          <cell r="I13">
            <v>-314404.7106555124</v>
          </cell>
        </row>
        <row r="14">
          <cell r="I14">
            <v>-7585416.1964477366</v>
          </cell>
        </row>
        <row r="15">
          <cell r="I15">
            <v>0</v>
          </cell>
        </row>
        <row r="16">
          <cell r="I16">
            <v>-6992712.7156915804</v>
          </cell>
        </row>
        <row r="17">
          <cell r="I17">
            <v>0</v>
          </cell>
        </row>
        <row r="18">
          <cell r="I18">
            <v>-3088354.8489743629</v>
          </cell>
        </row>
        <row r="19">
          <cell r="I19">
            <v>0</v>
          </cell>
        </row>
        <row r="20">
          <cell r="I20">
            <v>-6703364.8878523782</v>
          </cell>
        </row>
        <row r="21">
          <cell r="I21">
            <v>0</v>
          </cell>
        </row>
        <row r="22">
          <cell r="I22">
            <v>-7502235.410735257</v>
          </cell>
        </row>
        <row r="23">
          <cell r="I23">
            <v>11426.355856881133</v>
          </cell>
        </row>
        <row r="24">
          <cell r="I24">
            <v>-405989.64573460486</v>
          </cell>
        </row>
        <row r="25">
          <cell r="I25">
            <v>-153209.58873643589</v>
          </cell>
        </row>
        <row r="26">
          <cell r="I26">
            <v>-293528.0081203056</v>
          </cell>
        </row>
        <row r="27">
          <cell r="I27">
            <v>-2464536.2727357503</v>
          </cell>
        </row>
        <row r="28">
          <cell r="I28">
            <v>-2966191.1476285886</v>
          </cell>
        </row>
        <row r="29">
          <cell r="I29">
            <v>-1886979.159618818</v>
          </cell>
        </row>
        <row r="30">
          <cell r="I30">
            <v>-935900.77841936832</v>
          </cell>
        </row>
        <row r="31">
          <cell r="I31">
            <v>-2184977.6921839188</v>
          </cell>
        </row>
        <row r="32">
          <cell r="I32">
            <v>-3365259.9825298884</v>
          </cell>
        </row>
        <row r="33">
          <cell r="I33">
            <v>-2015156.1638639441</v>
          </cell>
        </row>
        <row r="34">
          <cell r="I34">
            <v>-570240.05050117068</v>
          </cell>
        </row>
        <row r="35">
          <cell r="I35">
            <v>-21160.249122232639</v>
          </cell>
        </row>
        <row r="36">
          <cell r="I36">
            <v>-150589.94241272396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-1286071.469746016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-905392.92094499548</v>
          </cell>
        </row>
        <row r="46">
          <cell r="I46">
            <v>-698.71001372387025</v>
          </cell>
        </row>
        <row r="47">
          <cell r="I47">
            <v>-188376.66823205113</v>
          </cell>
        </row>
        <row r="48">
          <cell r="I48">
            <v>167992.4117424392</v>
          </cell>
        </row>
        <row r="49">
          <cell r="I49">
            <v>72.497943240430459</v>
          </cell>
        </row>
        <row r="50">
          <cell r="I50">
            <v>106489.29949808269</v>
          </cell>
        </row>
        <row r="51">
          <cell r="I51">
            <v>0</v>
          </cell>
        </row>
        <row r="52">
          <cell r="I52">
            <v>0</v>
          </cell>
        </row>
      </sheetData>
      <sheetData sheetId="1">
        <row r="10">
          <cell r="I10">
            <v>0</v>
          </cell>
        </row>
        <row r="11">
          <cell r="I11">
            <v>-1067468.625169188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-442.60254666063588</v>
          </cell>
        </row>
        <row r="17">
          <cell r="I17">
            <v>-1606659.1323837887</v>
          </cell>
        </row>
        <row r="18">
          <cell r="I18">
            <v>-72670.686257364563</v>
          </cell>
        </row>
        <row r="19">
          <cell r="I19">
            <v>-243555.29834656019</v>
          </cell>
        </row>
        <row r="20">
          <cell r="I20">
            <v>0</v>
          </cell>
        </row>
        <row r="21">
          <cell r="I21">
            <v>-4535.4000000000087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-100882.77947790339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-28584.998388592809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-120761.05500000017</v>
          </cell>
        </row>
        <row r="35">
          <cell r="I35">
            <v>0</v>
          </cell>
        </row>
        <row r="36">
          <cell r="I36">
            <v>0</v>
          </cell>
        </row>
      </sheetData>
      <sheetData sheetId="2"/>
      <sheetData sheetId="3"/>
      <sheetData sheetId="4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7.5"/>
      <sheetName val="Page 7.5.1"/>
    </sheetNames>
    <sheetDataSet>
      <sheetData sheetId="0">
        <row r="10">
          <cell r="I10">
            <v>1211.4725894705491</v>
          </cell>
        </row>
        <row r="11">
          <cell r="I11">
            <v>58089.600508754433</v>
          </cell>
        </row>
        <row r="12">
          <cell r="I12">
            <v>-9064.8691755626114</v>
          </cell>
        </row>
        <row r="15">
          <cell r="I15">
            <v>1310.5216784610159</v>
          </cell>
        </row>
        <row r="16">
          <cell r="I16">
            <v>38389.702080008101</v>
          </cell>
        </row>
        <row r="17">
          <cell r="I17">
            <v>80.66439939744933</v>
          </cell>
        </row>
        <row r="18">
          <cell r="I18">
            <v>559334.39520980429</v>
          </cell>
        </row>
      </sheetData>
      <sheetData sheetId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7.3"/>
      <sheetName val="Page 7.3.1"/>
    </sheetNames>
    <sheetDataSet>
      <sheetData sheetId="0">
        <row r="10">
          <cell r="H10">
            <v>1098570.6191871969</v>
          </cell>
        </row>
        <row r="13">
          <cell r="H13">
            <v>-15107365.283422492</v>
          </cell>
        </row>
      </sheetData>
      <sheetData sheetId="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>
        <row r="153">
          <cell r="D153">
            <v>5.1435834186224598E-3</v>
          </cell>
        </row>
        <row r="154">
          <cell r="D154">
            <v>2E-3</v>
          </cell>
        </row>
        <row r="155">
          <cell r="D155">
            <v>3.95E-2</v>
          </cell>
        </row>
        <row r="156">
          <cell r="D156">
            <v>0</v>
          </cell>
        </row>
        <row r="157">
          <cell r="D15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G3">
            <v>0.47439999999999999</v>
          </cell>
        </row>
        <row r="4">
          <cell r="G4">
            <v>1E-4</v>
          </cell>
        </row>
        <row r="5">
          <cell r="G5">
            <v>0.52549999999999997</v>
          </cell>
        </row>
        <row r="7">
          <cell r="G7">
            <v>4.9200000000000001E-2</v>
          </cell>
        </row>
        <row r="8">
          <cell r="G8">
            <v>6.7500000000000004E-2</v>
          </cell>
        </row>
        <row r="9">
          <cell r="G9">
            <v>0.10199999999999999</v>
          </cell>
        </row>
      </sheetData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147"/>
  <sheetViews>
    <sheetView tabSelected="1" zoomScale="80" zoomScaleNormal="80" workbookViewId="0">
      <pane ySplit="7" topLeftCell="A8" activePane="bottomLeft" state="frozen"/>
      <selection pane="bottomLeft" activeCell="A3" sqref="A3"/>
    </sheetView>
  </sheetViews>
  <sheetFormatPr defaultRowHeight="12.75" x14ac:dyDescent="0.2"/>
  <cols>
    <col min="1" max="1" width="40" style="20" customWidth="1"/>
    <col min="2" max="2" width="15.7109375" style="20" customWidth="1"/>
    <col min="3" max="3" width="0.7109375" style="20" customWidth="1"/>
    <col min="4" max="4" width="15.7109375" style="20" customWidth="1"/>
    <col min="5" max="5" width="0.7109375" style="20" customWidth="1"/>
    <col min="6" max="6" width="15.7109375" style="20" customWidth="1"/>
    <col min="7" max="7" width="0.7109375" style="20" customWidth="1"/>
    <col min="8" max="8" width="15.7109375" style="20" customWidth="1"/>
    <col min="9" max="9" width="0.7109375" style="20" customWidth="1"/>
    <col min="10" max="10" width="15.7109375" style="20" customWidth="1"/>
    <col min="11" max="11" width="0.7109375" style="20" customWidth="1"/>
    <col min="12" max="12" width="15.7109375" style="20" customWidth="1"/>
    <col min="13" max="13" width="0.7109375" style="20" customWidth="1"/>
    <col min="14" max="14" width="15.85546875" style="20" customWidth="1"/>
    <col min="15" max="16384" width="9.140625" style="20"/>
  </cols>
  <sheetData>
    <row r="1" spans="1:14" x14ac:dyDescent="0.2">
      <c r="A1" s="5" t="s">
        <v>42</v>
      </c>
    </row>
    <row r="2" spans="1:14" x14ac:dyDescent="0.2">
      <c r="A2" s="1" t="s">
        <v>270</v>
      </c>
    </row>
    <row r="3" spans="1:14" x14ac:dyDescent="0.2">
      <c r="A3" s="63"/>
    </row>
    <row r="4" spans="1:14" x14ac:dyDescent="0.2">
      <c r="A4" s="1"/>
    </row>
    <row r="5" spans="1:14" x14ac:dyDescent="0.2">
      <c r="A5" s="1"/>
      <c r="B5" s="41" t="s">
        <v>114</v>
      </c>
      <c r="C5" s="42"/>
      <c r="D5" s="41" t="s">
        <v>115</v>
      </c>
      <c r="E5" s="42"/>
      <c r="F5" s="41" t="s">
        <v>116</v>
      </c>
      <c r="G5" s="43"/>
      <c r="H5" s="41" t="s">
        <v>117</v>
      </c>
      <c r="I5" s="43"/>
      <c r="J5" s="41" t="s">
        <v>118</v>
      </c>
      <c r="K5" s="43"/>
      <c r="L5" s="41" t="s">
        <v>119</v>
      </c>
      <c r="M5" s="43"/>
      <c r="N5" s="41" t="s">
        <v>136</v>
      </c>
    </row>
    <row r="6" spans="1:14" x14ac:dyDescent="0.2">
      <c r="A6" s="1"/>
      <c r="B6" s="49" t="s">
        <v>123</v>
      </c>
      <c r="C6" s="50"/>
      <c r="D6" s="50"/>
      <c r="F6" s="50" t="s">
        <v>121</v>
      </c>
      <c r="H6" s="50"/>
      <c r="J6" s="51" t="s">
        <v>122</v>
      </c>
      <c r="L6" s="51"/>
      <c r="N6" s="51" t="s">
        <v>146</v>
      </c>
    </row>
    <row r="7" spans="1:14" ht="43.5" customHeight="1" x14ac:dyDescent="0.2">
      <c r="A7" s="21"/>
      <c r="B7" s="40" t="s">
        <v>120</v>
      </c>
      <c r="C7" s="40"/>
      <c r="D7" s="191" t="s">
        <v>111</v>
      </c>
      <c r="E7" s="40"/>
      <c r="F7" s="40" t="s">
        <v>112</v>
      </c>
      <c r="G7" s="40"/>
      <c r="H7" s="191" t="s">
        <v>222</v>
      </c>
      <c r="I7" s="40"/>
      <c r="J7" s="40" t="s">
        <v>113</v>
      </c>
      <c r="K7" s="40"/>
      <c r="L7" s="40" t="s">
        <v>134</v>
      </c>
      <c r="M7" s="40"/>
      <c r="N7" s="40" t="s">
        <v>135</v>
      </c>
    </row>
    <row r="8" spans="1:14" x14ac:dyDescent="0.2">
      <c r="A8" s="11" t="s">
        <v>45</v>
      </c>
      <c r="B8" s="9"/>
      <c r="C8" s="9"/>
      <c r="D8" s="9"/>
      <c r="F8" s="9"/>
      <c r="H8" s="9"/>
      <c r="J8" s="9"/>
      <c r="L8" s="9"/>
      <c r="N8" s="9"/>
    </row>
    <row r="9" spans="1:14" x14ac:dyDescent="0.2">
      <c r="A9" s="11" t="s">
        <v>46</v>
      </c>
      <c r="B9" s="13">
        <f>[1]Results!C11</f>
        <v>326549201.78999996</v>
      </c>
      <c r="C9" s="9"/>
      <c r="D9" s="9">
        <f>'Restating Adj'!B12</f>
        <v>22605198.140773375</v>
      </c>
      <c r="F9" s="9">
        <f>B9+D9</f>
        <v>349154399.93077332</v>
      </c>
      <c r="H9" s="9">
        <f>'Pro Forma Adj'!B12</f>
        <v>17418111.240000013</v>
      </c>
      <c r="J9" s="9">
        <f>F9+H9</f>
        <v>366572511.17077333</v>
      </c>
      <c r="L9" s="9">
        <f>-(J37-(J64*Overall_ROR))/gross_up_factor</f>
        <v>29786938.196470469</v>
      </c>
      <c r="N9" s="9">
        <f>J9+L9</f>
        <v>396359449.36724377</v>
      </c>
    </row>
    <row r="10" spans="1:14" x14ac:dyDescent="0.2">
      <c r="A10" s="11" t="s">
        <v>47</v>
      </c>
      <c r="B10" s="13">
        <f>[1]Results!C12</f>
        <v>0</v>
      </c>
      <c r="C10" s="9"/>
      <c r="D10" s="9">
        <f>'Restating Adj'!B13</f>
        <v>0</v>
      </c>
      <c r="F10" s="9">
        <f t="shared" ref="F10:F12" si="0">B10+D10</f>
        <v>0</v>
      </c>
      <c r="H10" s="9">
        <f>'Pro Forma Adj'!B13</f>
        <v>0</v>
      </c>
      <c r="J10" s="9">
        <f t="shared" ref="J10:J12" si="1">F10+H10</f>
        <v>0</v>
      </c>
      <c r="L10" s="9"/>
      <c r="N10" s="9">
        <f t="shared" ref="N10:N12" si="2">J10+L10</f>
        <v>0</v>
      </c>
    </row>
    <row r="11" spans="1:14" x14ac:dyDescent="0.2">
      <c r="A11" s="11" t="s">
        <v>48</v>
      </c>
      <c r="B11" s="13">
        <f>[1]Results!C13</f>
        <v>17019166.449027743</v>
      </c>
      <c r="C11" s="9"/>
      <c r="D11" s="9">
        <f>'Restating Adj'!B14</f>
        <v>0</v>
      </c>
      <c r="F11" s="9">
        <f t="shared" si="0"/>
        <v>17019166.449027743</v>
      </c>
      <c r="H11" s="9">
        <f>'Pro Forma Adj'!B14</f>
        <v>-14866338.791918496</v>
      </c>
      <c r="J11" s="9">
        <f t="shared" si="1"/>
        <v>2152827.6571092475</v>
      </c>
      <c r="L11" s="9"/>
      <c r="N11" s="9">
        <f t="shared" si="2"/>
        <v>2152827.6571092475</v>
      </c>
    </row>
    <row r="12" spans="1:14" x14ac:dyDescent="0.2">
      <c r="A12" s="11" t="s">
        <v>49</v>
      </c>
      <c r="B12" s="13">
        <f>[1]Results!C14</f>
        <v>10619467.010369893</v>
      </c>
      <c r="C12" s="9"/>
      <c r="D12" s="9">
        <f>'Restating Adj'!B15</f>
        <v>-105882.16327527266</v>
      </c>
      <c r="F12" s="9">
        <f t="shared" si="0"/>
        <v>10513584.84709462</v>
      </c>
      <c r="H12" s="9">
        <f>'Pro Forma Adj'!B15</f>
        <v>1268157.0965046838</v>
      </c>
      <c r="J12" s="9">
        <f t="shared" si="1"/>
        <v>11781741.943599304</v>
      </c>
      <c r="L12" s="9"/>
      <c r="N12" s="9">
        <f t="shared" si="2"/>
        <v>11781741.943599304</v>
      </c>
    </row>
    <row r="13" spans="1:14" ht="13.5" thickBot="1" x14ac:dyDescent="0.25">
      <c r="A13" s="11" t="s">
        <v>50</v>
      </c>
      <c r="B13" s="10">
        <f>SUM(B9:B12)</f>
        <v>354187835.24939758</v>
      </c>
      <c r="C13" s="9"/>
      <c r="D13" s="10">
        <f>SUM(D9:D12)</f>
        <v>22499315.977498103</v>
      </c>
      <c r="F13" s="10">
        <f>SUM(F9:F12)</f>
        <v>376687151.22689563</v>
      </c>
      <c r="H13" s="10">
        <f>SUM(H9:H12)</f>
        <v>3819929.5445862012</v>
      </c>
      <c r="J13" s="10">
        <f>SUM(J9:J12)</f>
        <v>380507080.77148187</v>
      </c>
      <c r="L13" s="10">
        <f>SUM(L9:L12)</f>
        <v>29786938.196470469</v>
      </c>
      <c r="N13" s="10">
        <f>SUM(N9:N12)</f>
        <v>410294018.96795231</v>
      </c>
    </row>
    <row r="14" spans="1:14" ht="13.5" thickTop="1" x14ac:dyDescent="0.2">
      <c r="A14" s="11"/>
      <c r="B14" s="9"/>
      <c r="C14" s="9"/>
      <c r="D14" s="9"/>
      <c r="F14" s="9"/>
      <c r="H14" s="9"/>
      <c r="J14" s="9"/>
      <c r="L14" s="9"/>
      <c r="N14" s="9"/>
    </row>
    <row r="15" spans="1:14" x14ac:dyDescent="0.2">
      <c r="A15" s="11" t="s">
        <v>51</v>
      </c>
      <c r="B15" s="9"/>
      <c r="C15" s="9"/>
      <c r="D15" s="9"/>
      <c r="F15" s="9"/>
      <c r="H15" s="9"/>
      <c r="J15" s="9"/>
      <c r="L15" s="9"/>
      <c r="N15" s="9"/>
    </row>
    <row r="16" spans="1:14" x14ac:dyDescent="0.2">
      <c r="A16" s="11" t="s">
        <v>52</v>
      </c>
      <c r="B16" s="13">
        <f>[1]Results!C18</f>
        <v>70560214.284559131</v>
      </c>
      <c r="C16" s="9"/>
      <c r="D16" s="9">
        <f>'Restating Adj'!B19</f>
        <v>-497998.15233261522</v>
      </c>
      <c r="F16" s="9">
        <f t="shared" ref="F16:F25" si="3">B16+D16</f>
        <v>70062216.132226512</v>
      </c>
      <c r="H16" s="9">
        <f>'Pro Forma Adj'!B19</f>
        <v>3422557.9804142676</v>
      </c>
      <c r="J16" s="9">
        <f t="shared" ref="J16:J25" si="4">F16+H16</f>
        <v>73484774.112640783</v>
      </c>
      <c r="L16" s="9"/>
      <c r="N16" s="9">
        <f t="shared" ref="N16:N25" si="5">J16+L16</f>
        <v>73484774.112640783</v>
      </c>
    </row>
    <row r="17" spans="1:14" x14ac:dyDescent="0.2">
      <c r="A17" s="11" t="s">
        <v>53</v>
      </c>
      <c r="B17" s="13">
        <f>[1]Results!C19</f>
        <v>0</v>
      </c>
      <c r="C17" s="9"/>
      <c r="D17" s="9">
        <f>'Restating Adj'!B20</f>
        <v>0</v>
      </c>
      <c r="F17" s="9">
        <f t="shared" si="3"/>
        <v>0</v>
      </c>
      <c r="H17" s="9">
        <f>'Pro Forma Adj'!B20</f>
        <v>0</v>
      </c>
      <c r="J17" s="9">
        <f t="shared" si="4"/>
        <v>0</v>
      </c>
      <c r="L17" s="9"/>
      <c r="N17" s="9">
        <f t="shared" si="5"/>
        <v>0</v>
      </c>
    </row>
    <row r="18" spans="1:14" x14ac:dyDescent="0.2">
      <c r="A18" s="11" t="s">
        <v>54</v>
      </c>
      <c r="B18" s="13">
        <f>[1]Results!C20</f>
        <v>6841672.160289838</v>
      </c>
      <c r="C18" s="9"/>
      <c r="D18" s="9">
        <f>'Restating Adj'!B21</f>
        <v>19916.905241114458</v>
      </c>
      <c r="F18" s="9">
        <f t="shared" si="3"/>
        <v>6861589.0655309521</v>
      </c>
      <c r="H18" s="9">
        <f>'Pro Forma Adj'!B21</f>
        <v>-3454581.1455041068</v>
      </c>
      <c r="J18" s="9">
        <f t="shared" si="4"/>
        <v>3407007.9200268453</v>
      </c>
      <c r="L18" s="9"/>
      <c r="N18" s="9">
        <f t="shared" si="5"/>
        <v>3407007.9200268453</v>
      </c>
    </row>
    <row r="19" spans="1:14" x14ac:dyDescent="0.2">
      <c r="A19" s="11" t="s">
        <v>55</v>
      </c>
      <c r="B19" s="13">
        <f>[1]Results!C21</f>
        <v>63424679.078787863</v>
      </c>
      <c r="C19" s="9"/>
      <c r="D19" s="9">
        <f>'Restating Adj'!B22</f>
        <v>-5518909.259914171</v>
      </c>
      <c r="F19" s="9">
        <f t="shared" si="3"/>
        <v>57905769.818873689</v>
      </c>
      <c r="H19" s="9">
        <f>'Pro Forma Adj'!B22</f>
        <v>3734508.1600795565</v>
      </c>
      <c r="J19" s="9">
        <f t="shared" si="4"/>
        <v>61640277.978953242</v>
      </c>
      <c r="L19" s="9"/>
      <c r="N19" s="9">
        <f t="shared" si="5"/>
        <v>61640277.978953242</v>
      </c>
    </row>
    <row r="20" spans="1:14" x14ac:dyDescent="0.2">
      <c r="A20" s="11" t="s">
        <v>56</v>
      </c>
      <c r="B20" s="13">
        <f>[1]Results!C22</f>
        <v>32375787.706417251</v>
      </c>
      <c r="C20" s="9"/>
      <c r="D20" s="9">
        <f>'Restating Adj'!B23</f>
        <v>-317434.99357527972</v>
      </c>
      <c r="F20" s="9">
        <f t="shared" si="3"/>
        <v>32058352.712841973</v>
      </c>
      <c r="H20" s="9">
        <f>'Pro Forma Adj'!B23</f>
        <v>-16058293.141053868</v>
      </c>
      <c r="J20" s="9">
        <f t="shared" si="4"/>
        <v>16000059.571788104</v>
      </c>
      <c r="L20" s="9"/>
      <c r="N20" s="9">
        <f t="shared" si="5"/>
        <v>16000059.571788104</v>
      </c>
    </row>
    <row r="21" spans="1:14" x14ac:dyDescent="0.2">
      <c r="A21" s="11" t="s">
        <v>57</v>
      </c>
      <c r="B21" s="13">
        <f>[1]Results!C23</f>
        <v>11761768.183577189</v>
      </c>
      <c r="C21" s="9"/>
      <c r="D21" s="9">
        <f>'Restating Adj'!B24</f>
        <v>219958.42013111283</v>
      </c>
      <c r="F21" s="9">
        <f t="shared" si="3"/>
        <v>11981726.603708303</v>
      </c>
      <c r="H21" s="9">
        <f>'Pro Forma Adj'!B24</f>
        <v>393213.58067023917</v>
      </c>
      <c r="J21" s="9">
        <f t="shared" si="4"/>
        <v>12374940.184378542</v>
      </c>
      <c r="L21" s="9"/>
      <c r="N21" s="9">
        <f t="shared" si="5"/>
        <v>12374940.184378542</v>
      </c>
    </row>
    <row r="22" spans="1:14" x14ac:dyDescent="0.2">
      <c r="A22" s="11" t="s">
        <v>58</v>
      </c>
      <c r="B22" s="13">
        <f>[1]Results!C24</f>
        <v>5981921.510807883</v>
      </c>
      <c r="C22" s="9"/>
      <c r="D22" s="9">
        <f>'Restating Adj'!B25</f>
        <v>100459.48209091679</v>
      </c>
      <c r="F22" s="9">
        <f t="shared" si="3"/>
        <v>6082380.9928987995</v>
      </c>
      <c r="H22" s="9">
        <f>'Pro Forma Adj'!B25</f>
        <v>1020628.8153572457</v>
      </c>
      <c r="J22" s="9">
        <f t="shared" si="4"/>
        <v>7103009.808256045</v>
      </c>
      <c r="L22" s="9">
        <f>L9*uncollectible_perc</f>
        <v>153211.6013988975</v>
      </c>
      <c r="N22" s="9">
        <f t="shared" si="5"/>
        <v>7256221.4096549423</v>
      </c>
    </row>
    <row r="23" spans="1:14" x14ac:dyDescent="0.2">
      <c r="A23" s="11" t="s">
        <v>59</v>
      </c>
      <c r="B23" s="13">
        <f>[1]Results!C25</f>
        <v>1003434.513881115</v>
      </c>
      <c r="C23" s="9"/>
      <c r="D23" s="9">
        <f>'Restating Adj'!B26</f>
        <v>6542.2769399854187</v>
      </c>
      <c r="F23" s="9">
        <f t="shared" si="3"/>
        <v>1009976.7908211005</v>
      </c>
      <c r="H23" s="9">
        <f>'Pro Forma Adj'!B26</f>
        <v>27737.068649543151</v>
      </c>
      <c r="J23" s="9">
        <f t="shared" si="4"/>
        <v>1037713.8594706436</v>
      </c>
      <c r="L23" s="9"/>
      <c r="N23" s="9">
        <f t="shared" si="5"/>
        <v>1037713.8594706436</v>
      </c>
    </row>
    <row r="24" spans="1:14" x14ac:dyDescent="0.2">
      <c r="A24" s="11" t="s">
        <v>60</v>
      </c>
      <c r="B24" s="13">
        <f>[1]Results!C26</f>
        <v>0</v>
      </c>
      <c r="C24" s="9"/>
      <c r="D24" s="9">
        <f>'Restating Adj'!B27</f>
        <v>0</v>
      </c>
      <c r="F24" s="9">
        <f t="shared" si="3"/>
        <v>0</v>
      </c>
      <c r="H24" s="9">
        <f>'Pro Forma Adj'!B27</f>
        <v>0</v>
      </c>
      <c r="J24" s="9">
        <f t="shared" si="4"/>
        <v>0</v>
      </c>
      <c r="L24" s="9"/>
      <c r="N24" s="9">
        <f t="shared" si="5"/>
        <v>0</v>
      </c>
    </row>
    <row r="25" spans="1:14" x14ac:dyDescent="0.2">
      <c r="A25" s="11" t="s">
        <v>61</v>
      </c>
      <c r="B25" s="13">
        <f>[1]Results!C27</f>
        <v>9015079.8499425296</v>
      </c>
      <c r="C25" s="9"/>
      <c r="D25" s="9">
        <f>'Restating Adj'!B28</f>
        <v>-15118.422651971403</v>
      </c>
      <c r="F25" s="9">
        <f t="shared" si="3"/>
        <v>8999961.4272905588</v>
      </c>
      <c r="H25" s="9">
        <f>'Pro Forma Adj'!B28</f>
        <v>389702.259528631</v>
      </c>
      <c r="J25" s="9">
        <f t="shared" si="4"/>
        <v>9389663.6868191902</v>
      </c>
      <c r="L25" s="9"/>
      <c r="N25" s="9">
        <f t="shared" si="5"/>
        <v>9389663.6868191902</v>
      </c>
    </row>
    <row r="26" spans="1:14" x14ac:dyDescent="0.2">
      <c r="A26" s="11" t="s">
        <v>62</v>
      </c>
      <c r="B26" s="7">
        <f>SUM(B16:B25)</f>
        <v>200964557.28826278</v>
      </c>
      <c r="C26" s="9"/>
      <c r="D26" s="7">
        <f>SUM(D16:D25)</f>
        <v>-6002583.744070909</v>
      </c>
      <c r="F26" s="7">
        <f>SUM(F16:F25)</f>
        <v>194961973.54419187</v>
      </c>
      <c r="H26" s="7">
        <f>SUM(H16:H25)</f>
        <v>-10524526.421858491</v>
      </c>
      <c r="J26" s="7">
        <f>SUM(J16:J25)</f>
        <v>184437447.12233338</v>
      </c>
      <c r="L26" s="7">
        <f>SUM(L16:L25)</f>
        <v>153211.6013988975</v>
      </c>
      <c r="N26" s="7">
        <f>SUM(N16:N25)</f>
        <v>184590658.72373229</v>
      </c>
    </row>
    <row r="27" spans="1:14" x14ac:dyDescent="0.2">
      <c r="A27" s="11" t="s">
        <v>63</v>
      </c>
      <c r="B27" s="13">
        <f>[1]Results!C29</f>
        <v>48982077.056560166</v>
      </c>
      <c r="C27" s="9"/>
      <c r="D27" s="13">
        <f>'Restating Adj'!B30</f>
        <v>-485148.8497193756</v>
      </c>
      <c r="F27" s="9">
        <f t="shared" ref="F27:F29" si="6">B27+D27</f>
        <v>48496928.206840791</v>
      </c>
      <c r="H27" s="9">
        <f>'Pro Forma Adj'!B30</f>
        <v>76471624.207108542</v>
      </c>
      <c r="J27" s="9">
        <f t="shared" ref="J27:J29" si="7">F27+H27</f>
        <v>124968552.41394934</v>
      </c>
      <c r="L27" s="9"/>
      <c r="N27" s="9">
        <f t="shared" ref="N27:N34" si="8">J27+L27</f>
        <v>124968552.41394934</v>
      </c>
    </row>
    <row r="28" spans="1:14" x14ac:dyDescent="0.2">
      <c r="A28" s="11" t="s">
        <v>64</v>
      </c>
      <c r="B28" s="13">
        <f>[1]Results!C30</f>
        <v>5113848.0447265487</v>
      </c>
      <c r="C28" s="9"/>
      <c r="D28" s="13">
        <f>'Restating Adj'!B31</f>
        <v>0</v>
      </c>
      <c r="F28" s="9">
        <f t="shared" si="6"/>
        <v>5113848.0447265487</v>
      </c>
      <c r="H28" s="13">
        <f>'Pro Forma Adj'!B31</f>
        <v>2839433.8911172515</v>
      </c>
      <c r="J28" s="9">
        <f t="shared" si="7"/>
        <v>7953281.9358438002</v>
      </c>
      <c r="L28" s="9"/>
      <c r="N28" s="9">
        <f t="shared" si="8"/>
        <v>7953281.9358438002</v>
      </c>
    </row>
    <row r="29" spans="1:14" x14ac:dyDescent="0.2">
      <c r="A29" s="11" t="s">
        <v>65</v>
      </c>
      <c r="B29" s="13">
        <f>[1]Results!C31</f>
        <v>22603339.188917331</v>
      </c>
      <c r="C29" s="9"/>
      <c r="D29" s="13">
        <f>'Restating Adj'!B32</f>
        <v>-287844.94099917886</v>
      </c>
      <c r="F29" s="9">
        <f t="shared" si="6"/>
        <v>22315494.247918151</v>
      </c>
      <c r="H29" s="13">
        <f>'Pro Forma Adj'!B32</f>
        <v>2319053.6036546729</v>
      </c>
      <c r="J29" s="9">
        <f t="shared" si="7"/>
        <v>24634547.851572823</v>
      </c>
      <c r="L29" s="9">
        <f>L9*(WUTC_reg_fee_perc+WA_rev_tax_perc)</f>
        <v>1236157.9351535246</v>
      </c>
      <c r="N29" s="9">
        <f t="shared" si="8"/>
        <v>25870705.786726348</v>
      </c>
    </row>
    <row r="30" spans="1:14" x14ac:dyDescent="0.2">
      <c r="A30" s="11" t="s">
        <v>66</v>
      </c>
      <c r="B30" s="13">
        <f>[1]Results!C32</f>
        <v>18041169.881600775</v>
      </c>
      <c r="C30" s="9"/>
      <c r="D30" s="13">
        <f>D84</f>
        <v>6872894.5879040686</v>
      </c>
      <c r="F30" s="13">
        <f>F84</f>
        <v>24914064.469504841</v>
      </c>
      <c r="H30" s="13">
        <f>H84</f>
        <v>-22880080.09332227</v>
      </c>
      <c r="J30" s="13">
        <f>J84</f>
        <v>2033984.5134767424</v>
      </c>
      <c r="L30" s="13">
        <f>L84</f>
        <v>5963489.4185827896</v>
      </c>
      <c r="M30" s="13">
        <f>M84</f>
        <v>0</v>
      </c>
      <c r="N30" s="13">
        <f>N84</f>
        <v>7997473.7947653588</v>
      </c>
    </row>
    <row r="31" spans="1:14" x14ac:dyDescent="0.2">
      <c r="A31" s="11" t="s">
        <v>67</v>
      </c>
      <c r="B31" s="13">
        <f>[1]Results!C33</f>
        <v>0</v>
      </c>
      <c r="C31" s="9"/>
      <c r="D31" s="13">
        <f>D79</f>
        <v>0</v>
      </c>
      <c r="F31" s="9">
        <f>F79</f>
        <v>0</v>
      </c>
      <c r="H31" s="13">
        <f>H79</f>
        <v>0</v>
      </c>
      <c r="J31" s="9">
        <f>J79</f>
        <v>0</v>
      </c>
      <c r="L31" s="9">
        <f>L79</f>
        <v>0</v>
      </c>
      <c r="N31" s="9">
        <f>N79</f>
        <v>0</v>
      </c>
    </row>
    <row r="32" spans="1:14" x14ac:dyDescent="0.2">
      <c r="A32" s="11" t="s">
        <v>68</v>
      </c>
      <c r="B32" s="13">
        <f>[1]Results!C34</f>
        <v>-7119820.7090670364</v>
      </c>
      <c r="C32" s="9"/>
      <c r="D32" s="13">
        <f>'Restating Adj'!B35</f>
        <v>-4911050.4623990003</v>
      </c>
      <c r="F32" s="9">
        <f t="shared" ref="F32:F34" si="9">B32+D32</f>
        <v>-12030871.171466038</v>
      </c>
      <c r="H32" s="13">
        <f>'Pro Forma Adj'!B35</f>
        <v>-7298681.5186132751</v>
      </c>
      <c r="J32" s="9">
        <f t="shared" ref="J32:J34" si="10">F32+H32</f>
        <v>-19329552.690079313</v>
      </c>
      <c r="L32" s="9"/>
      <c r="N32" s="9">
        <f t="shared" si="8"/>
        <v>-19329552.690079313</v>
      </c>
    </row>
    <row r="33" spans="1:14" x14ac:dyDescent="0.2">
      <c r="A33" s="11" t="s">
        <v>69</v>
      </c>
      <c r="B33" s="13">
        <f>[1]Results!C35</f>
        <v>0</v>
      </c>
      <c r="C33" s="9"/>
      <c r="D33" s="13">
        <f>'Restating Adj'!B36</f>
        <v>0</v>
      </c>
      <c r="F33" s="9">
        <f t="shared" si="9"/>
        <v>0</v>
      </c>
      <c r="H33" s="13">
        <f>'Pro Forma Adj'!B36</f>
        <v>0</v>
      </c>
      <c r="J33" s="9">
        <f t="shared" si="10"/>
        <v>0</v>
      </c>
      <c r="L33" s="9"/>
      <c r="N33" s="9">
        <f t="shared" si="8"/>
        <v>0</v>
      </c>
    </row>
    <row r="34" spans="1:14" x14ac:dyDescent="0.2">
      <c r="A34" s="11" t="s">
        <v>70</v>
      </c>
      <c r="B34" s="13">
        <f>[1]Results!C36</f>
        <v>-260133.79775457806</v>
      </c>
      <c r="C34" s="9"/>
      <c r="D34" s="13">
        <f>'Restating Adj'!B37</f>
        <v>325568.89931887086</v>
      </c>
      <c r="F34" s="9">
        <f t="shared" si="9"/>
        <v>65435.101564292796</v>
      </c>
      <c r="H34" s="9">
        <f>'Pro Forma Adj'!B37</f>
        <v>0</v>
      </c>
      <c r="J34" s="9">
        <f t="shared" si="10"/>
        <v>65435.101564292796</v>
      </c>
      <c r="L34" s="9"/>
      <c r="N34" s="9">
        <f t="shared" si="8"/>
        <v>65435.101564292796</v>
      </c>
    </row>
    <row r="35" spans="1:14" x14ac:dyDescent="0.2">
      <c r="A35" s="11" t="s">
        <v>71</v>
      </c>
      <c r="B35" s="7">
        <f>SUM(B26:B34)</f>
        <v>288325036.953246</v>
      </c>
      <c r="C35" s="9"/>
      <c r="D35" s="189">
        <f>SUM(D26:D34)</f>
        <v>-4488164.5099655241</v>
      </c>
      <c r="F35" s="7">
        <f>SUM(F26:F34)</f>
        <v>283836872.4432804</v>
      </c>
      <c r="H35" s="7">
        <f>SUM(H26:H34)</f>
        <v>40926823.668086424</v>
      </c>
      <c r="J35" s="7">
        <f>SUM(J26:J34)</f>
        <v>324763696.24866104</v>
      </c>
      <c r="L35" s="7">
        <f>SUM(L26:L34)</f>
        <v>7352858.9551352113</v>
      </c>
      <c r="N35" s="7">
        <f>SUM(N26:N34)</f>
        <v>332116555.06650209</v>
      </c>
    </row>
    <row r="36" spans="1:14" x14ac:dyDescent="0.2">
      <c r="A36" s="11"/>
      <c r="B36" s="9"/>
      <c r="C36" s="9"/>
      <c r="D36" s="13"/>
      <c r="F36" s="9"/>
      <c r="H36" s="9"/>
      <c r="J36" s="9"/>
      <c r="L36" s="9"/>
      <c r="N36" s="9"/>
    </row>
    <row r="37" spans="1:14" ht="13.5" thickBot="1" x14ac:dyDescent="0.25">
      <c r="A37" s="11" t="s">
        <v>72</v>
      </c>
      <c r="B37" s="10">
        <f>B13-B35</f>
        <v>65862798.296151578</v>
      </c>
      <c r="C37" s="9"/>
      <c r="D37" s="190">
        <f>D13-D35</f>
        <v>26987480.487463627</v>
      </c>
      <c r="F37" s="10">
        <f>F13-F35</f>
        <v>92850278.783615232</v>
      </c>
      <c r="H37" s="10">
        <f>H13-H35</f>
        <v>-37106894.12350022</v>
      </c>
      <c r="J37" s="10">
        <f>J13-J35</f>
        <v>55743384.52282083</v>
      </c>
      <c r="L37" s="10">
        <f>L13-L35</f>
        <v>22434079.241335258</v>
      </c>
      <c r="N37" s="10">
        <f>N13-N35</f>
        <v>78177463.901450217</v>
      </c>
    </row>
    <row r="38" spans="1:14" ht="13.5" thickTop="1" x14ac:dyDescent="0.2">
      <c r="A38" s="11"/>
      <c r="B38" s="9"/>
      <c r="C38" s="9"/>
      <c r="D38" s="13"/>
      <c r="F38" s="9"/>
      <c r="H38" s="9"/>
      <c r="J38" s="9"/>
      <c r="L38" s="9"/>
      <c r="N38" s="9"/>
    </row>
    <row r="39" spans="1:14" x14ac:dyDescent="0.2">
      <c r="A39" s="11" t="s">
        <v>73</v>
      </c>
      <c r="B39" s="9"/>
      <c r="C39" s="9"/>
      <c r="D39" s="9"/>
      <c r="F39" s="9"/>
      <c r="H39" s="9"/>
      <c r="J39" s="9"/>
      <c r="L39" s="9"/>
      <c r="N39" s="9"/>
    </row>
    <row r="40" spans="1:14" x14ac:dyDescent="0.2">
      <c r="A40" s="11" t="s">
        <v>74</v>
      </c>
      <c r="B40" s="13">
        <f>[1]Results!C42</f>
        <v>1869127179.5559554</v>
      </c>
      <c r="C40" s="9"/>
      <c r="D40" s="9">
        <f>'Restating Adj'!B43</f>
        <v>28841635.412403762</v>
      </c>
      <c r="F40" s="9">
        <f t="shared" ref="F40:F50" si="11">B40+D40</f>
        <v>1897968814.9683592</v>
      </c>
      <c r="H40" s="9">
        <f>'Pro Forma Adj'!B43</f>
        <v>196443909.24116504</v>
      </c>
      <c r="J40" s="9">
        <f t="shared" ref="J40:J50" si="12">F40+H40</f>
        <v>2094412724.2095242</v>
      </c>
      <c r="L40" s="9"/>
      <c r="N40" s="9">
        <f t="shared" ref="N40:N50" si="13">J40+L40</f>
        <v>2094412724.2095242</v>
      </c>
    </row>
    <row r="41" spans="1:14" x14ac:dyDescent="0.2">
      <c r="A41" s="11" t="s">
        <v>75</v>
      </c>
      <c r="B41" s="13">
        <f>[1]Results!C43</f>
        <v>34942.962564657755</v>
      </c>
      <c r="C41" s="9"/>
      <c r="D41" s="9">
        <f>'Restating Adj'!B44</f>
        <v>0</v>
      </c>
      <c r="F41" s="9">
        <f t="shared" si="11"/>
        <v>34942.962564657755</v>
      </c>
      <c r="H41" s="9">
        <f>'Pro Forma Adj'!B44</f>
        <v>0</v>
      </c>
      <c r="J41" s="9">
        <f t="shared" si="12"/>
        <v>34942.962564657755</v>
      </c>
      <c r="L41" s="9"/>
      <c r="N41" s="9">
        <f t="shared" si="13"/>
        <v>34942.962564657755</v>
      </c>
    </row>
    <row r="42" spans="1:14" x14ac:dyDescent="0.2">
      <c r="A42" s="11" t="s">
        <v>76</v>
      </c>
      <c r="B42" s="13">
        <f>[1]Results!C44</f>
        <v>4541409.743199857</v>
      </c>
      <c r="C42" s="9"/>
      <c r="D42" s="9">
        <f>'Restating Adj'!B45</f>
        <v>-4016276.2885573972</v>
      </c>
      <c r="F42" s="9">
        <f t="shared" si="11"/>
        <v>525133.45464245975</v>
      </c>
      <c r="H42" s="9">
        <f>'Pro Forma Adj'!B45</f>
        <v>155438.60167140973</v>
      </c>
      <c r="J42" s="9">
        <f t="shared" si="12"/>
        <v>680572.05631386954</v>
      </c>
      <c r="L42" s="9"/>
      <c r="N42" s="9">
        <f t="shared" si="13"/>
        <v>680572.05631386954</v>
      </c>
    </row>
    <row r="43" spans="1:14" x14ac:dyDescent="0.2">
      <c r="A43" s="11" t="s">
        <v>77</v>
      </c>
      <c r="B43" s="13">
        <f>[1]Results!C45</f>
        <v>0</v>
      </c>
      <c r="C43" s="9"/>
      <c r="D43" s="9">
        <f>'Restating Adj'!B46</f>
        <v>0</v>
      </c>
      <c r="F43" s="9">
        <f t="shared" si="11"/>
        <v>0</v>
      </c>
      <c r="H43" s="9">
        <f>'Pro Forma Adj'!B46</f>
        <v>0</v>
      </c>
      <c r="J43" s="9">
        <f t="shared" si="12"/>
        <v>0</v>
      </c>
      <c r="L43" s="9"/>
      <c r="N43" s="9">
        <f t="shared" si="13"/>
        <v>0</v>
      </c>
    </row>
    <row r="44" spans="1:14" x14ac:dyDescent="0.2">
      <c r="A44" s="11" t="s">
        <v>78</v>
      </c>
      <c r="B44" s="13">
        <f>[1]Results!C46</f>
        <v>0</v>
      </c>
      <c r="C44" s="9"/>
      <c r="D44" s="9">
        <f>'Restating Adj'!B47</f>
        <v>0</v>
      </c>
      <c r="F44" s="9">
        <f t="shared" si="11"/>
        <v>0</v>
      </c>
      <c r="H44" s="9">
        <f>'Pro Forma Adj'!B47</f>
        <v>0</v>
      </c>
      <c r="J44" s="9">
        <f t="shared" si="12"/>
        <v>0</v>
      </c>
      <c r="L44" s="9"/>
      <c r="N44" s="9">
        <f t="shared" si="13"/>
        <v>0</v>
      </c>
    </row>
    <row r="45" spans="1:14" x14ac:dyDescent="0.2">
      <c r="A45" s="11" t="s">
        <v>79</v>
      </c>
      <c r="B45" s="13">
        <f>[1]Results!C47</f>
        <v>2033329.3412143218</v>
      </c>
      <c r="C45" s="9"/>
      <c r="D45" s="9">
        <f>'Restating Adj'!B48</f>
        <v>-2033329.3412143218</v>
      </c>
      <c r="F45" s="9">
        <f t="shared" si="11"/>
        <v>0</v>
      </c>
      <c r="H45" s="9">
        <f>'Pro Forma Adj'!B48</f>
        <v>0</v>
      </c>
      <c r="J45" s="9">
        <f t="shared" si="12"/>
        <v>0</v>
      </c>
      <c r="L45" s="9"/>
      <c r="N45" s="9">
        <f t="shared" si="13"/>
        <v>0</v>
      </c>
    </row>
    <row r="46" spans="1:14" x14ac:dyDescent="0.2">
      <c r="A46" s="11" t="s">
        <v>80</v>
      </c>
      <c r="B46" s="13">
        <f>[1]Results!C48</f>
        <v>5721215.855558129</v>
      </c>
      <c r="C46" s="9"/>
      <c r="D46" s="9">
        <f>'Restating Adj'!B49</f>
        <v>-5721215.8555581281</v>
      </c>
      <c r="F46" s="9">
        <f t="shared" si="11"/>
        <v>0</v>
      </c>
      <c r="H46" s="9">
        <f>'Pro Forma Adj'!B49</f>
        <v>0</v>
      </c>
      <c r="J46" s="9">
        <f t="shared" si="12"/>
        <v>0</v>
      </c>
      <c r="L46" s="9"/>
      <c r="N46" s="9">
        <f t="shared" si="13"/>
        <v>0</v>
      </c>
    </row>
    <row r="47" spans="1:14" x14ac:dyDescent="0.2">
      <c r="A47" s="11" t="s">
        <v>81</v>
      </c>
      <c r="B47" s="13">
        <f>[1]Results!C49</f>
        <v>8818868.4866138063</v>
      </c>
      <c r="C47" s="9"/>
      <c r="D47" s="9">
        <f>'Restating Adj'!B50</f>
        <v>-8818868.4865037892</v>
      </c>
      <c r="F47" s="9">
        <f t="shared" si="11"/>
        <v>1.1001713573932648E-4</v>
      </c>
      <c r="H47" s="9">
        <f>'Pro Forma Adj'!B50</f>
        <v>0</v>
      </c>
      <c r="J47" s="9">
        <f t="shared" si="12"/>
        <v>1.1001713573932648E-4</v>
      </c>
      <c r="L47" s="9"/>
      <c r="N47" s="9">
        <f t="shared" si="13"/>
        <v>1.1001713573932648E-4</v>
      </c>
    </row>
    <row r="48" spans="1:14" x14ac:dyDescent="0.2">
      <c r="A48" s="11" t="s">
        <v>82</v>
      </c>
      <c r="B48" s="13">
        <f>[1]Results!C50</f>
        <v>2839473.9421010017</v>
      </c>
      <c r="C48" s="9"/>
      <c r="D48" s="9">
        <f>'Restating Adj'!B51</f>
        <v>20620031.009925332</v>
      </c>
      <c r="F48" s="9">
        <f t="shared" si="11"/>
        <v>23459504.952026334</v>
      </c>
      <c r="H48" s="9">
        <f>'Pro Forma Adj'!B51</f>
        <v>0</v>
      </c>
      <c r="J48" s="9">
        <f t="shared" si="12"/>
        <v>23459504.952026334</v>
      </c>
      <c r="L48" s="9"/>
      <c r="N48" s="9">
        <f t="shared" si="13"/>
        <v>23459504.952026334</v>
      </c>
    </row>
    <row r="49" spans="1:14" x14ac:dyDescent="0.2">
      <c r="A49" s="11" t="s">
        <v>83</v>
      </c>
      <c r="B49" s="13">
        <f>[1]Results!C51</f>
        <v>5092.6441051398033</v>
      </c>
      <c r="C49" s="9"/>
      <c r="D49" s="9">
        <f>'Restating Adj'!B52</f>
        <v>0</v>
      </c>
      <c r="F49" s="9">
        <f t="shared" si="11"/>
        <v>5092.6441051398033</v>
      </c>
      <c r="H49" s="9">
        <f>'Pro Forma Adj'!B52</f>
        <v>0</v>
      </c>
      <c r="J49" s="9">
        <f t="shared" si="12"/>
        <v>5092.6441051398033</v>
      </c>
      <c r="L49" s="9"/>
      <c r="N49" s="9">
        <f t="shared" si="13"/>
        <v>5092.6441051398033</v>
      </c>
    </row>
    <row r="50" spans="1:14" x14ac:dyDescent="0.2">
      <c r="A50" s="11" t="s">
        <v>84</v>
      </c>
      <c r="B50" s="13">
        <f>[1]Results!C52</f>
        <v>0</v>
      </c>
      <c r="C50" s="9"/>
      <c r="D50" s="9">
        <f>'Restating Adj'!B53</f>
        <v>0</v>
      </c>
      <c r="F50" s="9">
        <f t="shared" si="11"/>
        <v>0</v>
      </c>
      <c r="H50" s="9">
        <f>'Pro Forma Adj'!B53</f>
        <v>0</v>
      </c>
      <c r="J50" s="9">
        <f t="shared" si="12"/>
        <v>0</v>
      </c>
      <c r="L50" s="9"/>
      <c r="N50" s="9">
        <f t="shared" si="13"/>
        <v>0</v>
      </c>
    </row>
    <row r="51" spans="1:14" ht="13.5" thickBot="1" x14ac:dyDescent="0.25">
      <c r="A51" s="11" t="s">
        <v>85</v>
      </c>
      <c r="B51" s="10">
        <f>SUM(B40:B50)</f>
        <v>1893121512.5313125</v>
      </c>
      <c r="C51" s="9"/>
      <c r="D51" s="10">
        <f>SUM(D40:D50)</f>
        <v>28871976.450495459</v>
      </c>
      <c r="F51" s="10">
        <f>SUM(F40:F50)</f>
        <v>1921993488.9818079</v>
      </c>
      <c r="H51" s="10">
        <f>SUM(H40:H50)</f>
        <v>196599347.84283644</v>
      </c>
      <c r="J51" s="10">
        <f>SUM(J40:J50)</f>
        <v>2118592836.8246441</v>
      </c>
      <c r="L51" s="10">
        <f>SUM(L40:L50)</f>
        <v>0</v>
      </c>
      <c r="N51" s="10">
        <f>SUM(N40:N50)</f>
        <v>2118592836.8246441</v>
      </c>
    </row>
    <row r="52" spans="1:14" ht="13.5" thickTop="1" x14ac:dyDescent="0.2">
      <c r="A52" s="11"/>
      <c r="B52" s="9"/>
      <c r="C52" s="9"/>
      <c r="D52" s="9"/>
      <c r="F52" s="9"/>
      <c r="H52" s="9"/>
      <c r="J52" s="9"/>
      <c r="L52" s="9"/>
      <c r="N52" s="9"/>
    </row>
    <row r="53" spans="1:14" x14ac:dyDescent="0.2">
      <c r="A53" s="11" t="s">
        <v>86</v>
      </c>
      <c r="B53" s="9"/>
      <c r="C53" s="9"/>
      <c r="D53" s="9"/>
      <c r="F53" s="9"/>
      <c r="H53" s="9"/>
      <c r="J53" s="9"/>
      <c r="L53" s="9"/>
      <c r="N53" s="9"/>
    </row>
    <row r="54" spans="1:14" x14ac:dyDescent="0.2">
      <c r="A54" s="11" t="s">
        <v>87</v>
      </c>
      <c r="B54" s="13">
        <f>[1]Results!C56</f>
        <v>-743720454.69041991</v>
      </c>
      <c r="C54" s="9"/>
      <c r="D54" s="9">
        <f>'Restating Adj'!B57</f>
        <v>-48566074.454209499</v>
      </c>
      <c r="F54" s="9">
        <f t="shared" ref="F54:F60" si="14">B54+D54</f>
        <v>-792286529.14462936</v>
      </c>
      <c r="H54" s="9">
        <f>'Pro Forma Adj'!B57</f>
        <v>33082154.383554198</v>
      </c>
      <c r="J54" s="9">
        <f t="shared" ref="J54:J60" si="15">F54+H54</f>
        <v>-759204374.76107514</v>
      </c>
      <c r="L54" s="9"/>
      <c r="N54" s="9">
        <f t="shared" ref="N54:N61" si="16">J54+L54</f>
        <v>-759204374.76107514</v>
      </c>
    </row>
    <row r="55" spans="1:14" x14ac:dyDescent="0.2">
      <c r="A55" s="11" t="s">
        <v>88</v>
      </c>
      <c r="B55" s="13">
        <f>[1]Results!C57</f>
        <v>-61553794.228224881</v>
      </c>
      <c r="C55" s="9"/>
      <c r="D55" s="9">
        <f>'Restating Adj'!B58</f>
        <v>-2423618.2104293355</v>
      </c>
      <c r="F55" s="9">
        <f t="shared" si="14"/>
        <v>-63977412.438654214</v>
      </c>
      <c r="H55" s="9">
        <f>'Pro Forma Adj'!B58</f>
        <v>2103615.8250537398</v>
      </c>
      <c r="J55" s="9">
        <f t="shared" si="15"/>
        <v>-61873796.613600478</v>
      </c>
      <c r="L55" s="9"/>
      <c r="N55" s="9">
        <f t="shared" si="16"/>
        <v>-61873796.613600478</v>
      </c>
    </row>
    <row r="56" spans="1:14" x14ac:dyDescent="0.2">
      <c r="A56" s="11" t="s">
        <v>89</v>
      </c>
      <c r="B56" s="13">
        <f>[1]Results!C58</f>
        <v>-272700960.75965124</v>
      </c>
      <c r="C56" s="9"/>
      <c r="D56" s="9">
        <f>'Restating Adj'!B59</f>
        <v>13626096.714858457</v>
      </c>
      <c r="F56" s="9">
        <f t="shared" si="14"/>
        <v>-259074864.04479277</v>
      </c>
      <c r="H56" s="9">
        <f>'Pro Forma Adj'!B59</f>
        <v>38202167.239522725</v>
      </c>
      <c r="J56" s="9">
        <f t="shared" si="15"/>
        <v>-220872696.80527005</v>
      </c>
      <c r="L56" s="9"/>
      <c r="N56" s="9">
        <f t="shared" si="16"/>
        <v>-220872696.80527005</v>
      </c>
    </row>
    <row r="57" spans="1:14" x14ac:dyDescent="0.2">
      <c r="A57" s="11" t="s">
        <v>90</v>
      </c>
      <c r="B57" s="13">
        <f>[1]Results!C59</f>
        <v>-19597.460327859608</v>
      </c>
      <c r="C57" s="9"/>
      <c r="D57" s="9">
        <f>'Restating Adj'!B60</f>
        <v>0</v>
      </c>
      <c r="F57" s="9">
        <f t="shared" si="14"/>
        <v>-19597.460327859608</v>
      </c>
      <c r="H57" s="9">
        <f>'Pro Forma Adj'!B60</f>
        <v>0</v>
      </c>
      <c r="J57" s="9">
        <f t="shared" si="15"/>
        <v>-19597.460327859608</v>
      </c>
      <c r="L57" s="9"/>
      <c r="N57" s="9">
        <f t="shared" si="16"/>
        <v>-19597.460327859608</v>
      </c>
    </row>
    <row r="58" spans="1:14" x14ac:dyDescent="0.2">
      <c r="A58" s="11" t="s">
        <v>91</v>
      </c>
      <c r="B58" s="13">
        <f>[1]Results!C60</f>
        <v>22214.951184419831</v>
      </c>
      <c r="C58" s="9"/>
      <c r="D58" s="9">
        <f>'Restating Adj'!B61</f>
        <v>-2502028.2767103352</v>
      </c>
      <c r="F58" s="9">
        <f t="shared" si="14"/>
        <v>-2479813.3255259153</v>
      </c>
      <c r="H58" s="9">
        <f>'Pro Forma Adj'!B61</f>
        <v>0</v>
      </c>
      <c r="J58" s="9">
        <f t="shared" si="15"/>
        <v>-2479813.3255259153</v>
      </c>
      <c r="L58" s="9"/>
      <c r="N58" s="9">
        <f t="shared" si="16"/>
        <v>-2479813.3255259153</v>
      </c>
    </row>
    <row r="59" spans="1:14" x14ac:dyDescent="0.2">
      <c r="A59" s="11" t="s">
        <v>92</v>
      </c>
      <c r="B59" s="13">
        <f>[1]Results!C61</f>
        <v>0</v>
      </c>
      <c r="C59" s="9"/>
      <c r="D59" s="9">
        <f>'Restating Adj'!B62</f>
        <v>-2829106.1541666668</v>
      </c>
      <c r="F59" s="9">
        <f t="shared" si="14"/>
        <v>-2829106.1541666668</v>
      </c>
      <c r="H59" s="9">
        <f>'Pro Forma Adj'!B62</f>
        <v>0</v>
      </c>
      <c r="J59" s="9">
        <f t="shared" si="15"/>
        <v>-2829106.1541666668</v>
      </c>
      <c r="L59" s="9"/>
      <c r="N59" s="9">
        <f t="shared" si="16"/>
        <v>-2829106.1541666668</v>
      </c>
    </row>
    <row r="60" spans="1:14" x14ac:dyDescent="0.2">
      <c r="A60" s="11" t="s">
        <v>93</v>
      </c>
      <c r="B60" s="13">
        <f>[1]Results!C62</f>
        <v>-36449285.999016821</v>
      </c>
      <c r="C60" s="9"/>
      <c r="D60" s="9">
        <f>'Restating Adj'!B63</f>
        <v>4129504.8610232491</v>
      </c>
      <c r="F60" s="9">
        <f t="shared" si="14"/>
        <v>-32319781.137993574</v>
      </c>
      <c r="H60" s="9">
        <f>'Pro Forma Adj'!B63</f>
        <v>-23019462.641530417</v>
      </c>
      <c r="J60" s="9">
        <f t="shared" si="15"/>
        <v>-55339243.779523991</v>
      </c>
      <c r="L60" s="9"/>
      <c r="N60" s="9">
        <f t="shared" si="16"/>
        <v>-55339243.779523991</v>
      </c>
    </row>
    <row r="61" spans="1:14" x14ac:dyDescent="0.2">
      <c r="A61" s="11"/>
      <c r="B61" s="9"/>
      <c r="C61" s="9"/>
      <c r="D61" s="9"/>
      <c r="F61" s="9"/>
      <c r="H61" s="9"/>
      <c r="J61" s="9"/>
      <c r="L61" s="9"/>
      <c r="N61" s="9">
        <f t="shared" si="16"/>
        <v>0</v>
      </c>
    </row>
    <row r="62" spans="1:14" ht="13.5" thickBot="1" x14ac:dyDescent="0.25">
      <c r="A62" s="11" t="s">
        <v>94</v>
      </c>
      <c r="B62" s="10">
        <f>SUM(B54:B60)</f>
        <v>-1114421878.1864562</v>
      </c>
      <c r="C62" s="9"/>
      <c r="D62" s="10">
        <f>SUM(D54:D60)</f>
        <v>-38565225.519634128</v>
      </c>
      <c r="F62" s="10">
        <f>SUM(F54:F60)</f>
        <v>-1152987103.7060905</v>
      </c>
      <c r="H62" s="10">
        <f>SUM(H54:H60)</f>
        <v>50368474.80660025</v>
      </c>
      <c r="J62" s="10">
        <f>SUM(J54:J60)</f>
        <v>-1102618628.8994901</v>
      </c>
      <c r="L62" s="10">
        <f>SUM(L54:L60)</f>
        <v>0</v>
      </c>
      <c r="N62" s="10">
        <f>SUM(N54:N60)</f>
        <v>-1102618628.8994901</v>
      </c>
    </row>
    <row r="63" spans="1:14" ht="13.5" thickTop="1" x14ac:dyDescent="0.2">
      <c r="A63" s="11"/>
      <c r="B63" s="9"/>
      <c r="C63" s="9"/>
      <c r="D63" s="9"/>
      <c r="F63" s="9"/>
      <c r="H63" s="9"/>
      <c r="J63" s="9"/>
      <c r="L63" s="9"/>
      <c r="N63" s="9"/>
    </row>
    <row r="64" spans="1:14" ht="13.5" thickBot="1" x14ac:dyDescent="0.25">
      <c r="A64" s="11" t="s">
        <v>95</v>
      </c>
      <c r="B64" s="10">
        <f>B51+B62</f>
        <v>778699634.34485626</v>
      </c>
      <c r="C64" s="9"/>
      <c r="D64" s="10">
        <f>D51+D62</f>
        <v>-9693249.0691386685</v>
      </c>
      <c r="F64" s="10">
        <f>F51+F62</f>
        <v>769006385.2757175</v>
      </c>
      <c r="H64" s="10">
        <f>H51+H62</f>
        <v>246967822.64943668</v>
      </c>
      <c r="J64" s="10">
        <f>J51+J62</f>
        <v>1015974207.925154</v>
      </c>
      <c r="L64" s="10">
        <f>L51+L62</f>
        <v>0</v>
      </c>
      <c r="N64" s="10">
        <f>N51+N62</f>
        <v>1015974207.925154</v>
      </c>
    </row>
    <row r="65" spans="1:14" ht="13.5" thickTop="1" x14ac:dyDescent="0.2">
      <c r="A65" s="11"/>
      <c r="B65" s="9"/>
      <c r="C65" s="9"/>
      <c r="D65" s="9"/>
      <c r="F65" s="9"/>
      <c r="H65" s="9"/>
      <c r="J65" s="9"/>
      <c r="L65" s="9"/>
      <c r="N65" s="9"/>
    </row>
    <row r="66" spans="1:14" x14ac:dyDescent="0.2">
      <c r="A66" s="11" t="s">
        <v>44</v>
      </c>
      <c r="B66" s="24">
        <f>B37/B64</f>
        <v>8.4580492132327711E-2</v>
      </c>
      <c r="C66" s="24"/>
      <c r="D66" s="24">
        <f>F66-B66</f>
        <v>3.6160090210593854E-2</v>
      </c>
      <c r="F66" s="24">
        <f>F37/F64</f>
        <v>0.12074058234292157</v>
      </c>
      <c r="H66" s="24">
        <f>J66-F66</f>
        <v>-6.5873653548871508E-2</v>
      </c>
      <c r="J66" s="24">
        <f>J37/J64</f>
        <v>5.4866928794050057E-2</v>
      </c>
      <c r="L66" s="24">
        <f>N66-J66</f>
        <v>2.208134734487481E-2</v>
      </c>
      <c r="N66" s="24">
        <f>N37/N64</f>
        <v>7.6948276138924868E-2</v>
      </c>
    </row>
    <row r="67" spans="1:14" x14ac:dyDescent="0.2">
      <c r="A67" s="11" t="s">
        <v>96</v>
      </c>
      <c r="B67" s="24">
        <f>(B66-Weighted_cost_debt-Weighted_cost_pref)/Percent_common</f>
        <v>0.1165238099568558</v>
      </c>
      <c r="C67" s="24"/>
      <c r="D67" s="24">
        <f>F67-B67</f>
        <v>6.8810828183813233E-2</v>
      </c>
      <c r="F67" s="24">
        <f>(F66-Weighted_cost_debt-Weighted_cost_pref)/Percent_common</f>
        <v>0.18533463814066903</v>
      </c>
      <c r="H67" s="24">
        <f>J67-F67</f>
        <v>-0.12535424081612084</v>
      </c>
      <c r="J67" s="24">
        <f>(J66-Weighted_cost_debt-Weighted_cost_pref)/Percent_common</f>
        <v>5.9980397324548171E-2</v>
      </c>
      <c r="L67" s="24">
        <f>N67-J67</f>
        <v>4.2019602675451823E-2</v>
      </c>
      <c r="N67" s="24">
        <f>ROUND((N66-Weighted_cost_debt-Weighted_cost_pref)/Percent_common,3)</f>
        <v>0.10199999999999999</v>
      </c>
    </row>
    <row r="68" spans="1:14" x14ac:dyDescent="0.2">
      <c r="A68" s="11" t="s">
        <v>43</v>
      </c>
      <c r="B68" s="9">
        <f>-(B37-(B64*Overall_ROR))/gross_up_factor</f>
        <v>-7891176.7000832269</v>
      </c>
      <c r="C68" s="9"/>
      <c r="D68" s="9">
        <f>-(D37-(D64*Overall_ROR))/gross_up_factor</f>
        <v>-36823154.545951001</v>
      </c>
      <c r="F68" s="9">
        <f>-(F37-(F64*Overall_ROR))/gross_up_factor</f>
        <v>-44714331.246034279</v>
      </c>
      <c r="H68" s="9">
        <f>-(H37-(H64*Overall_ROR))/gross_up_factor</f>
        <v>74501269.260211483</v>
      </c>
      <c r="J68" s="9">
        <f>-(J37-(J64*Overall_ROR))/gross_up_factor</f>
        <v>29786938.196470469</v>
      </c>
      <c r="L68" s="9"/>
      <c r="N68" s="9"/>
    </row>
    <row r="69" spans="1:14" x14ac:dyDescent="0.2">
      <c r="A69" s="11"/>
      <c r="B69" s="22"/>
      <c r="C69" s="22"/>
      <c r="D69" s="22"/>
      <c r="F69" s="22"/>
      <c r="H69" s="22"/>
      <c r="J69" s="22"/>
      <c r="L69" s="22"/>
      <c r="N69" s="22"/>
    </row>
    <row r="70" spans="1:14" x14ac:dyDescent="0.2">
      <c r="A70" s="11" t="s">
        <v>97</v>
      </c>
      <c r="B70" s="9"/>
      <c r="C70" s="9"/>
      <c r="D70" s="9"/>
      <c r="F70" s="9"/>
      <c r="H70" s="9"/>
      <c r="J70" s="9"/>
      <c r="L70" s="9"/>
      <c r="N70" s="9"/>
    </row>
    <row r="71" spans="1:14" x14ac:dyDescent="0.2">
      <c r="A71" s="11" t="s">
        <v>98</v>
      </c>
      <c r="B71" s="9">
        <f t="shared" ref="B71:N71" si="17">B13-B26-B27-B28-B29-B34</f>
        <v>76784147.468685314</v>
      </c>
      <c r="C71" s="9"/>
      <c r="D71" s="9">
        <f t="shared" si="17"/>
        <v>28949324.612968698</v>
      </c>
      <c r="F71" s="9">
        <f t="shared" si="17"/>
        <v>105733472.08165398</v>
      </c>
      <c r="H71" s="9">
        <f t="shared" si="17"/>
        <v>-67285655.735435769</v>
      </c>
      <c r="J71" s="9">
        <f>ROUNDUP(J13-J26-J27-J28-J29-J34,0)</f>
        <v>38447817</v>
      </c>
      <c r="L71" s="9">
        <f t="shared" si="17"/>
        <v>28397568.659918047</v>
      </c>
      <c r="N71" s="9">
        <f t="shared" si="17"/>
        <v>66845385.006136239</v>
      </c>
    </row>
    <row r="72" spans="1:14" x14ac:dyDescent="0.2">
      <c r="A72" s="11" t="s">
        <v>99</v>
      </c>
      <c r="B72" s="13">
        <f>[1]Results!C73</f>
        <v>0</v>
      </c>
      <c r="C72" s="9"/>
      <c r="D72" s="9"/>
      <c r="F72" s="9">
        <f t="shared" ref="F72:F76" si="18">B72+D72</f>
        <v>0</v>
      </c>
      <c r="H72" s="9"/>
      <c r="J72" s="9"/>
      <c r="L72" s="9"/>
      <c r="N72" s="9"/>
    </row>
    <row r="73" spans="1:14" x14ac:dyDescent="0.2">
      <c r="A73" s="11" t="s">
        <v>100</v>
      </c>
      <c r="B73" s="13">
        <f>[1]Results!C74</f>
        <v>-3011899.3628875981</v>
      </c>
      <c r="C73" s="9"/>
      <c r="D73" s="9">
        <f>'Restating Adj'!B76</f>
        <v>-4620.2408263712532</v>
      </c>
      <c r="F73" s="9">
        <f t="shared" si="18"/>
        <v>-3016519.6037139692</v>
      </c>
      <c r="H73" s="9">
        <f>'Pro Forma Adj'!B76</f>
        <v>0</v>
      </c>
      <c r="J73" s="9">
        <f t="shared" ref="J73:J76" si="19">F73+H73</f>
        <v>-3016519.6037139692</v>
      </c>
      <c r="L73" s="9"/>
      <c r="N73" s="9">
        <f t="shared" ref="N73:N76" si="20">J73+L73</f>
        <v>-3016519.6037139692</v>
      </c>
    </row>
    <row r="74" spans="1:14" x14ac:dyDescent="0.2">
      <c r="A74" s="11" t="s">
        <v>101</v>
      </c>
      <c r="B74" s="13">
        <f>[1]Results!C75</f>
        <v>22042470.758558765</v>
      </c>
      <c r="C74" s="9"/>
      <c r="D74" s="9">
        <f>'Restating Adj'!B77</f>
        <v>-4093492.6031585857</v>
      </c>
      <c r="F74" s="9">
        <f t="shared" si="18"/>
        <v>17948978.155400179</v>
      </c>
      <c r="H74" s="9">
        <f>'Pro Forma Adj'!B77</f>
        <v>5764347.525192719</v>
      </c>
      <c r="J74" s="9">
        <f t="shared" si="19"/>
        <v>23713325.680592898</v>
      </c>
      <c r="L74" s="9"/>
      <c r="N74" s="9">
        <f t="shared" si="20"/>
        <v>23713325.680592898</v>
      </c>
    </row>
    <row r="75" spans="1:14" x14ac:dyDescent="0.2">
      <c r="A75" s="11" t="s">
        <v>102</v>
      </c>
      <c r="B75" s="13">
        <f>[1]Results!C76</f>
        <v>91716240.228935182</v>
      </c>
      <c r="C75" s="9"/>
      <c r="D75" s="9">
        <f>'Restating Adj'!B78</f>
        <v>-185916.44429361407</v>
      </c>
      <c r="E75" s="21"/>
      <c r="F75" s="9">
        <f t="shared" si="18"/>
        <v>91530323.784641564</v>
      </c>
      <c r="G75" s="21"/>
      <c r="H75" s="9">
        <f>'Pro Forma Adj'!B78</f>
        <v>84202717.107855618</v>
      </c>
      <c r="J75" s="9">
        <f t="shared" si="19"/>
        <v>175733040.89249718</v>
      </c>
      <c r="L75" s="9"/>
      <c r="N75" s="9">
        <f t="shared" si="20"/>
        <v>175733040.89249718</v>
      </c>
    </row>
    <row r="76" spans="1:14" x14ac:dyDescent="0.2">
      <c r="A76" s="11" t="s">
        <v>103</v>
      </c>
      <c r="B76" s="188">
        <f>[1]Results!C77</f>
        <v>58295026.136140451</v>
      </c>
      <c r="C76" s="9"/>
      <c r="D76" s="8">
        <f>'Restating Adj'!B79</f>
        <v>133451.54645019188</v>
      </c>
      <c r="E76" s="21"/>
      <c r="F76" s="8">
        <f t="shared" si="18"/>
        <v>58428477.682590641</v>
      </c>
      <c r="G76" s="21"/>
      <c r="H76" s="8">
        <f>'Pro Forma Adj'!B79</f>
        <v>53396930.176212728</v>
      </c>
      <c r="J76" s="8">
        <f t="shared" si="19"/>
        <v>111825407.85880336</v>
      </c>
      <c r="L76" s="8"/>
      <c r="N76" s="8">
        <f t="shared" si="20"/>
        <v>111825407.85880336</v>
      </c>
    </row>
    <row r="77" spans="1:14" x14ac:dyDescent="0.2">
      <c r="A77" s="11" t="s">
        <v>104</v>
      </c>
      <c r="B77" s="9">
        <f t="shared" ref="B77:N77" si="21">B71-B73-B74+B75-B76</f>
        <v>91174790.165808871</v>
      </c>
      <c r="C77" s="9"/>
      <c r="D77" s="9">
        <f t="shared" si="21"/>
        <v>32728069.466209851</v>
      </c>
      <c r="E77" s="21"/>
      <c r="F77" s="9">
        <f t="shared" si="21"/>
        <v>123902859.63201872</v>
      </c>
      <c r="G77" s="21"/>
      <c r="H77" s="9">
        <f t="shared" si="21"/>
        <v>-42244216.328985602</v>
      </c>
      <c r="J77" s="9">
        <f t="shared" si="21"/>
        <v>81658643.956814885</v>
      </c>
      <c r="L77" s="9">
        <f t="shared" si="21"/>
        <v>28397568.659918047</v>
      </c>
      <c r="N77" s="9">
        <f t="shared" si="21"/>
        <v>110056211.96295115</v>
      </c>
    </row>
    <row r="78" spans="1:14" x14ac:dyDescent="0.2">
      <c r="A78" s="11"/>
      <c r="B78" s="9"/>
      <c r="C78" s="9"/>
      <c r="D78" s="9"/>
      <c r="E78" s="21"/>
      <c r="F78" s="9"/>
      <c r="G78" s="21"/>
      <c r="H78" s="9"/>
      <c r="J78" s="9"/>
      <c r="L78" s="9"/>
      <c r="N78" s="9"/>
    </row>
    <row r="79" spans="1:14" x14ac:dyDescent="0.2">
      <c r="A79" s="11" t="s">
        <v>105</v>
      </c>
      <c r="B79" s="9">
        <v>0</v>
      </c>
      <c r="C79" s="9"/>
      <c r="D79" s="9">
        <v>0</v>
      </c>
      <c r="E79" s="21"/>
      <c r="F79" s="9">
        <v>0</v>
      </c>
      <c r="G79" s="21"/>
      <c r="H79" s="9">
        <v>0</v>
      </c>
      <c r="J79" s="9">
        <v>0</v>
      </c>
      <c r="L79" s="9">
        <v>0</v>
      </c>
      <c r="N79" s="9">
        <v>0</v>
      </c>
    </row>
    <row r="80" spans="1:14" x14ac:dyDescent="0.2">
      <c r="A80" s="11" t="s">
        <v>106</v>
      </c>
      <c r="B80" s="9">
        <f>B77-B79</f>
        <v>91174790.165808871</v>
      </c>
      <c r="C80" s="9"/>
      <c r="D80" s="9">
        <f>D77-D79</f>
        <v>32728069.466209851</v>
      </c>
      <c r="E80" s="21"/>
      <c r="F80" s="9">
        <f>F77-F79</f>
        <v>123902859.63201872</v>
      </c>
      <c r="G80" s="21"/>
      <c r="H80" s="9">
        <f>H77-H79</f>
        <v>-42244216.328985602</v>
      </c>
      <c r="J80" s="9">
        <f>J77-J79</f>
        <v>81658643.956814885</v>
      </c>
      <c r="L80" s="9">
        <f>L77-L79</f>
        <v>28397568.659918047</v>
      </c>
      <c r="N80" s="9">
        <f>N77-N79</f>
        <v>110056211.96295115</v>
      </c>
    </row>
    <row r="81" spans="1:14" x14ac:dyDescent="0.2">
      <c r="A81" s="11"/>
      <c r="B81" s="9"/>
      <c r="C81" s="9"/>
      <c r="D81" s="9"/>
      <c r="E81" s="21"/>
      <c r="F81" s="9"/>
      <c r="G81" s="21"/>
      <c r="H81" s="9"/>
      <c r="J81" s="9"/>
      <c r="L81" s="9"/>
      <c r="N81" s="9"/>
    </row>
    <row r="82" spans="1:14" x14ac:dyDescent="0.2">
      <c r="A82" s="11" t="s">
        <v>131</v>
      </c>
      <c r="B82" s="9">
        <f>B80*0.21</f>
        <v>19146705.934819862</v>
      </c>
      <c r="C82" s="9"/>
      <c r="D82" s="9">
        <f>D80*0.21</f>
        <v>6872894.5879040686</v>
      </c>
      <c r="E82" s="21"/>
      <c r="F82" s="9">
        <f>F80*0.21</f>
        <v>26019600.522723928</v>
      </c>
      <c r="G82" s="21"/>
      <c r="H82" s="9">
        <f>H80*0.21</f>
        <v>-8871285.4290869758</v>
      </c>
      <c r="J82" s="9">
        <f>J80*0.21</f>
        <v>17148315.230931126</v>
      </c>
      <c r="L82" s="9">
        <f>L80*0.21</f>
        <v>5963489.4185827896</v>
      </c>
      <c r="N82" s="9">
        <f>N80*0.21</f>
        <v>23111804.512219742</v>
      </c>
    </row>
    <row r="83" spans="1:14" x14ac:dyDescent="0.2">
      <c r="A83" s="11" t="s">
        <v>132</v>
      </c>
      <c r="B83" s="9">
        <f>B84-B82</f>
        <v>-1105536.0532190874</v>
      </c>
      <c r="C83" s="9"/>
      <c r="D83" s="9">
        <f>'Restating Adj'!B86</f>
        <v>0</v>
      </c>
      <c r="E83" s="21"/>
      <c r="F83" s="9">
        <f t="shared" ref="F83" si="22">B83+D83</f>
        <v>-1105536.0532190874</v>
      </c>
      <c r="G83" s="21"/>
      <c r="H83" s="9">
        <f>'Pro Forma Adj'!B86</f>
        <v>-14008794.664235296</v>
      </c>
      <c r="J83" s="9">
        <f t="shared" ref="J83" si="23">F83+H83</f>
        <v>-15114330.717454383</v>
      </c>
      <c r="L83" s="9"/>
      <c r="N83" s="9">
        <f t="shared" ref="N83" si="24">J83+L83</f>
        <v>-15114330.717454383</v>
      </c>
    </row>
    <row r="84" spans="1:14" x14ac:dyDescent="0.2">
      <c r="A84" s="11" t="s">
        <v>133</v>
      </c>
      <c r="B84" s="13">
        <f>[1]Results!$C$83</f>
        <v>18041169.881600775</v>
      </c>
      <c r="C84" s="9"/>
      <c r="D84" s="9">
        <f>D82+D83</f>
        <v>6872894.5879040686</v>
      </c>
      <c r="E84" s="21"/>
      <c r="F84" s="9">
        <f>F82+F83</f>
        <v>24914064.469504841</v>
      </c>
      <c r="G84" s="21"/>
      <c r="H84" s="9">
        <f>H82+H83</f>
        <v>-22880080.09332227</v>
      </c>
      <c r="J84" s="9">
        <f>J82+J83</f>
        <v>2033984.5134767424</v>
      </c>
      <c r="L84" s="9">
        <f>L82+L83</f>
        <v>5963489.4185827896</v>
      </c>
      <c r="N84" s="9">
        <f>N82+N83</f>
        <v>7997473.7947653588</v>
      </c>
    </row>
    <row r="85" spans="1:14" x14ac:dyDescent="0.2">
      <c r="A85" s="11"/>
      <c r="B85" s="9"/>
      <c r="C85" s="9"/>
      <c r="D85" s="9"/>
      <c r="F85" s="9"/>
      <c r="H85" s="9"/>
      <c r="J85" s="9"/>
      <c r="L85" s="9"/>
      <c r="N85" s="9"/>
    </row>
    <row r="86" spans="1:14" x14ac:dyDescent="0.2">
      <c r="A86" s="11"/>
      <c r="B86" s="9"/>
      <c r="C86" s="9"/>
      <c r="D86" s="9"/>
      <c r="E86" s="21"/>
      <c r="F86" s="9"/>
      <c r="G86" s="21"/>
      <c r="H86" s="9"/>
      <c r="J86" s="9"/>
      <c r="L86" s="9"/>
      <c r="N86" s="9"/>
    </row>
    <row r="87" spans="1:14" x14ac:dyDescent="0.2">
      <c r="A87" s="11"/>
      <c r="B87" s="9"/>
      <c r="C87" s="9"/>
      <c r="D87" s="9"/>
      <c r="E87" s="21"/>
      <c r="F87" s="9"/>
      <c r="G87" s="21"/>
      <c r="H87" s="9"/>
      <c r="J87" s="9"/>
      <c r="L87" s="9"/>
      <c r="N87" s="9"/>
    </row>
    <row r="88" spans="1:14" x14ac:dyDescent="0.2">
      <c r="A88" s="11"/>
      <c r="B88" s="9"/>
      <c r="C88" s="9"/>
      <c r="D88" s="9"/>
      <c r="E88" s="21"/>
      <c r="F88" s="9"/>
      <c r="G88" s="21"/>
      <c r="H88" s="9"/>
      <c r="J88" s="9"/>
      <c r="L88" s="9"/>
      <c r="N88" s="9"/>
    </row>
    <row r="89" spans="1:14" x14ac:dyDescent="0.2">
      <c r="A89" s="11"/>
      <c r="B89" s="9"/>
      <c r="C89" s="9"/>
      <c r="D89" s="9"/>
      <c r="E89" s="21"/>
      <c r="F89" s="9"/>
      <c r="G89" s="21"/>
      <c r="H89" s="9"/>
      <c r="J89" s="9"/>
      <c r="L89" s="9"/>
      <c r="N89" s="9"/>
    </row>
    <row r="90" spans="1:14" x14ac:dyDescent="0.2">
      <c r="A90" s="23"/>
      <c r="B90" s="9"/>
      <c r="C90" s="9"/>
      <c r="D90" s="9"/>
      <c r="E90" s="21"/>
      <c r="F90" s="9"/>
      <c r="G90" s="21"/>
      <c r="H90" s="9"/>
      <c r="J90" s="9"/>
      <c r="L90" s="9"/>
      <c r="N90" s="9"/>
    </row>
    <row r="91" spans="1:14" x14ac:dyDescent="0.2">
      <c r="A91" s="21"/>
      <c r="B91" s="6"/>
      <c r="C91" s="6"/>
      <c r="D91" s="6"/>
      <c r="F91" s="6"/>
      <c r="H91" s="6"/>
      <c r="J91" s="6"/>
      <c r="L91" s="6"/>
      <c r="N91" s="6"/>
    </row>
    <row r="92" spans="1:14" x14ac:dyDescent="0.2">
      <c r="A92" s="21"/>
    </row>
    <row r="93" spans="1:14" x14ac:dyDescent="0.2">
      <c r="A93" s="21"/>
    </row>
    <row r="94" spans="1:14" x14ac:dyDescent="0.2">
      <c r="A94" s="21"/>
    </row>
    <row r="95" spans="1:14" x14ac:dyDescent="0.2">
      <c r="A95" s="21"/>
    </row>
    <row r="96" spans="1:14" x14ac:dyDescent="0.2">
      <c r="A96" s="21"/>
    </row>
    <row r="97" spans="1:1" x14ac:dyDescent="0.2">
      <c r="A97" s="21"/>
    </row>
    <row r="98" spans="1:1" x14ac:dyDescent="0.2">
      <c r="A98" s="21"/>
    </row>
    <row r="99" spans="1:1" x14ac:dyDescent="0.2">
      <c r="A99" s="21"/>
    </row>
    <row r="100" spans="1:1" x14ac:dyDescent="0.2">
      <c r="A100" s="21"/>
    </row>
    <row r="101" spans="1:1" x14ac:dyDescent="0.2">
      <c r="A101" s="21"/>
    </row>
    <row r="102" spans="1:1" x14ac:dyDescent="0.2">
      <c r="A102" s="21"/>
    </row>
    <row r="103" spans="1:1" x14ac:dyDescent="0.2">
      <c r="A103" s="21"/>
    </row>
    <row r="104" spans="1:1" x14ac:dyDescent="0.2">
      <c r="A104" s="21"/>
    </row>
    <row r="105" spans="1:1" x14ac:dyDescent="0.2">
      <c r="A105" s="21"/>
    </row>
    <row r="106" spans="1:1" x14ac:dyDescent="0.2">
      <c r="A106" s="21"/>
    </row>
    <row r="107" spans="1:1" x14ac:dyDescent="0.2">
      <c r="A107" s="21"/>
    </row>
    <row r="108" spans="1:1" x14ac:dyDescent="0.2">
      <c r="A108" s="21"/>
    </row>
    <row r="109" spans="1:1" x14ac:dyDescent="0.2">
      <c r="A109" s="21"/>
    </row>
    <row r="110" spans="1:1" x14ac:dyDescent="0.2">
      <c r="A110" s="21"/>
    </row>
    <row r="111" spans="1:1" x14ac:dyDescent="0.2">
      <c r="A111" s="21"/>
    </row>
    <row r="112" spans="1: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  <row r="142" spans="1:1" x14ac:dyDescent="0.2">
      <c r="A142" s="21"/>
    </row>
    <row r="143" spans="1:1" x14ac:dyDescent="0.2">
      <c r="A143" s="21"/>
    </row>
    <row r="144" spans="1:1" x14ac:dyDescent="0.2">
      <c r="A144" s="21"/>
    </row>
    <row r="145" spans="1:1" x14ac:dyDescent="0.2">
      <c r="A145" s="21"/>
    </row>
    <row r="146" spans="1:1" x14ac:dyDescent="0.2">
      <c r="A146" s="21"/>
    </row>
    <row r="147" spans="1:1" x14ac:dyDescent="0.2">
      <c r="A147" s="21"/>
    </row>
  </sheetData>
  <phoneticPr fontId="3" type="noConversion"/>
  <pageMargins left="0.5" right="0.5" top="0.5" bottom="0.5" header="0.5" footer="0.5"/>
  <pageSetup scale="63" orientation="portrait" r:id="rId1"/>
  <headerFooter alignWithMargins="0"/>
  <customProperties>
    <customPr name="_pios_id" r:id="rId2"/>
  </customProperties>
  <ignoredErrors>
    <ignoredError sqref="F26:N26" formula="1"/>
    <ignoredError sqref="B5:N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G93"/>
  <sheetViews>
    <sheetView view="pageBreakPreview" zoomScale="70" zoomScaleNormal="60" zoomScaleSheetLayoutView="70" workbookViewId="0">
      <selection activeCell="B45" sqref="B45"/>
    </sheetView>
  </sheetViews>
  <sheetFormatPr defaultRowHeight="12.75" x14ac:dyDescent="0.2"/>
  <cols>
    <col min="1" max="1" width="36" style="2" customWidth="1"/>
    <col min="2" max="2" width="23" style="15" bestFit="1" customWidth="1"/>
    <col min="3" max="19" width="17.28515625" style="2" bestFit="1" customWidth="1"/>
    <col min="20" max="21" width="17.28515625" style="2" customWidth="1"/>
    <col min="22" max="22" width="17.28515625" style="2" bestFit="1" customWidth="1"/>
    <col min="23" max="24" width="17.28515625" style="2" customWidth="1"/>
    <col min="25" max="26" width="17.28515625" style="2" bestFit="1" customWidth="1"/>
    <col min="27" max="27" width="19.140625" style="2" customWidth="1"/>
    <col min="28" max="28" width="17.28515625" style="2" bestFit="1" customWidth="1"/>
    <col min="29" max="29" width="17.28515625" style="2" customWidth="1"/>
    <col min="30" max="38" width="17.28515625" style="2" bestFit="1" customWidth="1"/>
    <col min="39" max="41" width="17.28515625" style="2" customWidth="1"/>
    <col min="42" max="53" width="17.28515625" style="2" bestFit="1" customWidth="1"/>
    <col min="54" max="55" width="18.85546875" style="2" customWidth="1"/>
    <col min="56" max="59" width="17.28515625" style="2" bestFit="1" customWidth="1"/>
    <col min="60" max="16384" width="9.140625" style="15"/>
  </cols>
  <sheetData>
    <row r="1" spans="1:59" x14ac:dyDescent="0.2">
      <c r="A1" s="4" t="s">
        <v>42</v>
      </c>
    </row>
    <row r="2" spans="1:59" s="2" customFormat="1" x14ac:dyDescent="0.2">
      <c r="A2" s="146" t="s">
        <v>270</v>
      </c>
    </row>
    <row r="3" spans="1:59" s="2" customFormat="1" x14ac:dyDescent="0.2">
      <c r="A3" s="147" t="s">
        <v>182</v>
      </c>
    </row>
    <row r="4" spans="1:59" s="2" customFormat="1" x14ac:dyDescent="0.2">
      <c r="A4" s="148"/>
    </row>
    <row r="5" spans="1:59" s="2" customFormat="1" x14ac:dyDescent="0.2">
      <c r="A5" s="146"/>
    </row>
    <row r="6" spans="1:59" s="4" customFormat="1" ht="13.5" thickBot="1" x14ac:dyDescent="0.25">
      <c r="A6" s="148"/>
    </row>
    <row r="7" spans="1:59" s="149" customFormat="1" ht="13.5" thickBot="1" x14ac:dyDescent="0.25">
      <c r="A7" s="4"/>
      <c r="B7" s="267"/>
      <c r="C7" s="282" t="s">
        <v>35</v>
      </c>
      <c r="D7" s="283"/>
      <c r="E7" s="283"/>
      <c r="F7" s="284"/>
      <c r="G7" s="273" t="s">
        <v>317</v>
      </c>
      <c r="H7" s="282" t="s">
        <v>239</v>
      </c>
      <c r="I7" s="283"/>
      <c r="J7" s="283"/>
      <c r="K7" s="283"/>
      <c r="L7" s="283"/>
      <c r="M7" s="284"/>
      <c r="N7" s="282" t="s">
        <v>239</v>
      </c>
      <c r="O7" s="283"/>
      <c r="P7" s="283"/>
      <c r="Q7" s="283"/>
      <c r="R7" s="283"/>
      <c r="S7" s="284"/>
      <c r="T7" s="282" t="s">
        <v>254</v>
      </c>
      <c r="U7" s="283"/>
      <c r="V7" s="283"/>
      <c r="W7" s="283"/>
      <c r="X7" s="284"/>
      <c r="Y7" s="273" t="s">
        <v>318</v>
      </c>
      <c r="Z7" s="282" t="s">
        <v>232</v>
      </c>
      <c r="AA7" s="283"/>
      <c r="AB7" s="283"/>
      <c r="AC7" s="284"/>
      <c r="AD7" s="282" t="s">
        <v>36</v>
      </c>
      <c r="AE7" s="284"/>
      <c r="AF7" s="282" t="s">
        <v>36</v>
      </c>
      <c r="AG7" s="283"/>
      <c r="AH7" s="283"/>
      <c r="AI7" s="283"/>
      <c r="AJ7" s="283"/>
      <c r="AK7" s="284"/>
      <c r="AL7" s="282" t="s">
        <v>36</v>
      </c>
      <c r="AM7" s="283"/>
      <c r="AN7" s="283"/>
      <c r="AO7" s="284"/>
      <c r="AP7" s="282" t="s">
        <v>37</v>
      </c>
      <c r="AQ7" s="284"/>
      <c r="AR7" s="282" t="s">
        <v>37</v>
      </c>
      <c r="AS7" s="283"/>
      <c r="AT7" s="283"/>
      <c r="AU7" s="283"/>
      <c r="AV7" s="283"/>
      <c r="AW7" s="284"/>
      <c r="AX7" s="282" t="s">
        <v>37</v>
      </c>
      <c r="AY7" s="283"/>
      <c r="AZ7" s="283"/>
      <c r="BA7" s="283"/>
      <c r="BB7" s="283"/>
      <c r="BC7" s="284"/>
      <c r="BD7" s="282" t="s">
        <v>319</v>
      </c>
      <c r="BE7" s="283"/>
      <c r="BF7" s="283"/>
      <c r="BG7" s="284"/>
    </row>
    <row r="8" spans="1:59" x14ac:dyDescent="0.2">
      <c r="B8" s="74"/>
      <c r="C8" s="74" t="str">
        <f>'Restating Adj'!C8</f>
        <v>3.1</v>
      </c>
      <c r="D8" s="71" t="str">
        <f>'Restating Adj'!D8</f>
        <v>3.2</v>
      </c>
      <c r="E8" s="71" t="str">
        <f>'Restating Adj'!E8</f>
        <v>3.3</v>
      </c>
      <c r="F8" s="72" t="str">
        <f>'Restating Adj'!F8</f>
        <v>3.4</v>
      </c>
      <c r="G8" s="73" t="str">
        <f>'Restating Adj'!G8</f>
        <v>4.1</v>
      </c>
      <c r="H8" s="74" t="str">
        <f>'Restating Adj'!H8</f>
        <v>4.2</v>
      </c>
      <c r="I8" s="71" t="str">
        <f>'Restating Adj'!I8</f>
        <v>4.3</v>
      </c>
      <c r="J8" s="71" t="str">
        <f>'Restating Adj'!J8</f>
        <v>4.4</v>
      </c>
      <c r="K8" s="71" t="str">
        <f>'Restating Adj'!K8</f>
        <v>4.5</v>
      </c>
      <c r="L8" s="71" t="str">
        <f>'Restating Adj'!L8</f>
        <v>4.6</v>
      </c>
      <c r="M8" s="72" t="str">
        <f>'Restating Adj'!M8</f>
        <v>4.7</v>
      </c>
      <c r="N8" s="74" t="str">
        <f>'Restating Adj'!N8</f>
        <v>4.8</v>
      </c>
      <c r="O8" s="71" t="str">
        <f>'Restating Adj'!O8</f>
        <v>4.9</v>
      </c>
      <c r="P8" s="71" t="str">
        <f>'Restating Adj'!P8</f>
        <v>4.10</v>
      </c>
      <c r="Q8" s="71" t="str">
        <f>'Restating Adj'!Q8</f>
        <v>4.11</v>
      </c>
      <c r="R8" s="71" t="str">
        <f>'Restating Adj'!R8</f>
        <v>4.12</v>
      </c>
      <c r="S8" s="280" t="str">
        <f>'Restating Adj'!S8</f>
        <v>4.13</v>
      </c>
      <c r="T8" s="261" t="str">
        <f>'Restating Adj'!T8</f>
        <v>5.1</v>
      </c>
      <c r="U8" s="262" t="str">
        <f>'Restating Adj'!U8</f>
        <v>5.2</v>
      </c>
      <c r="V8" s="71" t="str">
        <f>'Restating Adj'!V8</f>
        <v>5.3</v>
      </c>
      <c r="W8" s="71" t="str">
        <f>'Restating Adj'!W8</f>
        <v>5.4</v>
      </c>
      <c r="X8" s="72" t="str">
        <f>'Restating Adj'!X8</f>
        <v>5.5</v>
      </c>
      <c r="Y8" s="73" t="str">
        <f>'Restating Adj'!Y8</f>
        <v>6.1</v>
      </c>
      <c r="Z8" s="74" t="str">
        <f>'Restating Adj'!Z8</f>
        <v>6.2</v>
      </c>
      <c r="AA8" s="71" t="str">
        <f>'Restating Adj'!AA8</f>
        <v>6.3</v>
      </c>
      <c r="AB8" s="71" t="str">
        <f>'Restating Adj'!AB8</f>
        <v>6.4</v>
      </c>
      <c r="AC8" s="72" t="str">
        <f>'Restating Adj'!AC8</f>
        <v>6.5</v>
      </c>
      <c r="AD8" s="74" t="str">
        <f>'Restating Adj'!AD8</f>
        <v>7.1</v>
      </c>
      <c r="AE8" s="72" t="str">
        <f>'Restating Adj'!AE8</f>
        <v>7.2</v>
      </c>
      <c r="AF8" s="74" t="str">
        <f>'Restating Adj'!AF8</f>
        <v>7.3</v>
      </c>
      <c r="AG8" s="71" t="str">
        <f>'Restating Adj'!AG8</f>
        <v>7.4</v>
      </c>
      <c r="AH8" s="71" t="str">
        <f>'Restating Adj'!AH8</f>
        <v>7.5</v>
      </c>
      <c r="AI8" s="71" t="str">
        <f>'Restating Adj'!AI8</f>
        <v>7.6</v>
      </c>
      <c r="AJ8" s="71" t="str">
        <f>'Restating Adj'!AJ8</f>
        <v>7.7</v>
      </c>
      <c r="AK8" s="72" t="str">
        <f>'Restating Adj'!AK8</f>
        <v>7.8</v>
      </c>
      <c r="AL8" s="74" t="str">
        <f>'Restating Adj'!AL8</f>
        <v>7.9</v>
      </c>
      <c r="AM8" s="71" t="str">
        <f>'Restating Adj'!AM8</f>
        <v>7.10</v>
      </c>
      <c r="AN8" s="71" t="str">
        <f>'Restating Adj'!AN8</f>
        <v>7.11</v>
      </c>
      <c r="AO8" s="72" t="str">
        <f>'Restating Adj'!AO8</f>
        <v>7.12</v>
      </c>
      <c r="AP8" s="74" t="str">
        <f>'Restating Adj'!AP8</f>
        <v>8.1</v>
      </c>
      <c r="AQ8" s="72" t="str">
        <f>'Restating Adj'!AQ8</f>
        <v>8.2</v>
      </c>
      <c r="AR8" s="74" t="str">
        <f>'Restating Adj'!AR8</f>
        <v>8.3</v>
      </c>
      <c r="AS8" s="71" t="str">
        <f>'Restating Adj'!AS8</f>
        <v>8.4</v>
      </c>
      <c r="AT8" s="71" t="str">
        <f>'Restating Adj'!AT8</f>
        <v>8.5</v>
      </c>
      <c r="AU8" s="71" t="str">
        <f>'Restating Adj'!AU8</f>
        <v>8.6</v>
      </c>
      <c r="AV8" s="71" t="str">
        <f>'Restating Adj'!AV8</f>
        <v>8.7</v>
      </c>
      <c r="AW8" s="72" t="str">
        <f>'Restating Adj'!AW8</f>
        <v>8.8</v>
      </c>
      <c r="AX8" s="261" t="str">
        <f>'Restating Adj'!AX8</f>
        <v>8.9</v>
      </c>
      <c r="AY8" s="262" t="str">
        <f>'Restating Adj'!AY8</f>
        <v>8.10</v>
      </c>
      <c r="AZ8" s="262" t="str">
        <f>'Restating Adj'!AZ8</f>
        <v>8.11</v>
      </c>
      <c r="BA8" s="262" t="str">
        <f>'Restating Adj'!BA8</f>
        <v>8.12</v>
      </c>
      <c r="BB8" s="262" t="str">
        <f>'Restating Adj'!BB8</f>
        <v>8.13</v>
      </c>
      <c r="BC8" s="280" t="str">
        <f>'Restating Adj'!BC8</f>
        <v>8.14</v>
      </c>
      <c r="BD8" s="261" t="str">
        <f>'Restating Adj'!BD8</f>
        <v>9.1</v>
      </c>
      <c r="BE8" s="262" t="str">
        <f>'Restating Adj'!BE8</f>
        <v>9.2</v>
      </c>
      <c r="BF8" s="262" t="str">
        <f>'Restating Adj'!BF8</f>
        <v>9.3</v>
      </c>
      <c r="BG8" s="280" t="str">
        <f>'Restating Adj'!BG8</f>
        <v>9.4</v>
      </c>
    </row>
    <row r="9" spans="1:59" s="150" customFormat="1" ht="86.25" customHeight="1" x14ac:dyDescent="0.2">
      <c r="A9" s="14"/>
      <c r="B9" s="268" t="s">
        <v>158</v>
      </c>
      <c r="C9" s="99" t="str">
        <f>'Restating Adj'!C9</f>
        <v>Temperature Normalization</v>
      </c>
      <c r="D9" s="101" t="str">
        <f>'Restating Adj'!D9</f>
        <v>Revenue Normalizing</v>
      </c>
      <c r="E9" s="101" t="str">
        <f>'Restating Adj'!E9</f>
        <v>Wheeling Revenue</v>
      </c>
      <c r="F9" s="100" t="str">
        <f>'Restating Adj'!F9</f>
        <v>Ancillary Revenue</v>
      </c>
      <c r="G9" s="274" t="str">
        <f>'Restating Adj'!G9</f>
        <v>Miscellaneous Expense &amp; Revenue</v>
      </c>
      <c r="H9" s="99" t="str">
        <f>'Restating Adj'!H9</f>
        <v>General Wage Increase (Annualizing)</v>
      </c>
      <c r="I9" s="101" t="str">
        <f>'Restating Adj'!I9</f>
        <v>General Wage Increase 
(Pro Forma)</v>
      </c>
      <c r="J9" s="101" t="str">
        <f>'Restating Adj'!J9</f>
        <v>Insurance Expense</v>
      </c>
      <c r="K9" s="101" t="str">
        <f>'Restating Adj'!K9</f>
        <v>Advertising</v>
      </c>
      <c r="L9" s="101" t="str">
        <f>'Restating Adj'!L9</f>
        <v>Memberships &amp; Subscriptions</v>
      </c>
      <c r="M9" s="100" t="str">
        <f>'Restating Adj'!M9</f>
        <v>Revenue-Sensitive/ Uncollectible Expense</v>
      </c>
      <c r="N9" s="99" t="str">
        <f>'Restating Adj'!N9</f>
        <v>Legal Expenses</v>
      </c>
      <c r="O9" s="101" t="str">
        <f>'Restating Adj'!O9</f>
        <v>Payment Fees and Bill Credits</v>
      </c>
      <c r="P9" s="101" t="str">
        <f>'Restating Adj'!P9</f>
        <v>Remove Non-Recurring Entries</v>
      </c>
      <c r="Q9" s="101" t="str">
        <f>'Restating Adj'!Q9</f>
        <v>Environmental Remediation</v>
      </c>
      <c r="R9" s="101" t="str">
        <f>'Restating Adj'!R9</f>
        <v>Credit Facility Fee Adjustment</v>
      </c>
      <c r="S9" s="100" t="str">
        <f>'Restating Adj'!S9</f>
        <v>Amortization of Pension Settlement Adjustment</v>
      </c>
      <c r="T9" s="99" t="str">
        <f>'Restating Adj'!T9</f>
        <v>Net Power Costs - Restating</v>
      </c>
      <c r="U9" s="101" t="str">
        <f>'Restating Adj'!U9</f>
        <v>Net Power Costs - Pro Forma</v>
      </c>
      <c r="V9" s="101" t="str">
        <f>'Restating Adj'!V9</f>
        <v>Colstrip #3 Removal</v>
      </c>
      <c r="W9" s="101" t="str">
        <f>'Restating Adj'!W9</f>
        <v>REC Purchase Adjustment</v>
      </c>
      <c r="X9" s="100" t="str">
        <f>'Restating Adj'!X9</f>
        <v>Nodal Pricing Model Adjustment</v>
      </c>
      <c r="Y9" s="274" t="str">
        <f>'Restating Adj'!Y9</f>
        <v>Pro Forma Depreciation &amp; Amortization Expense</v>
      </c>
      <c r="Z9" s="99" t="str">
        <f>'Restating Adj'!Z9</f>
        <v>Pro Forma Depreciation &amp; Amortization Reserves</v>
      </c>
      <c r="AA9" s="101" t="str">
        <f>'Restating Adj'!AA9</f>
        <v>End-of-Period Reserves</v>
      </c>
      <c r="AB9" s="101" t="str">
        <f>'Restating Adj'!AB9</f>
        <v>Accelerated Depreciation on Jim Bridger &amp; Colstrip</v>
      </c>
      <c r="AC9" s="100" t="str">
        <f>'Restating Adj'!AC9</f>
        <v>Depreciation Study</v>
      </c>
      <c r="AD9" s="99" t="str">
        <f>'Restating Adj'!AD9</f>
        <v>Interest True Up</v>
      </c>
      <c r="AE9" s="100" t="str">
        <f>'Restating Adj'!AE9</f>
        <v>Property Tax Expense</v>
      </c>
      <c r="AF9" s="99" t="str">
        <f>'Restating Adj'!AF9</f>
        <v>Production Tax Credit</v>
      </c>
      <c r="AG9" s="101" t="str">
        <f>'Restating Adj'!AG9</f>
        <v>PowerTax ADIT Balance</v>
      </c>
      <c r="AH9" s="101" t="str">
        <f>'Restating Adj'!AH9</f>
        <v>Permanent Schedule M Adjustment</v>
      </c>
      <c r="AI9" s="101" t="str">
        <f>'Restating Adj'!AI9</f>
        <v>Remove Deferred State Tax Expense &amp; Balance</v>
      </c>
      <c r="AJ9" s="101" t="str">
        <f>'Restating Adj'!AJ9</f>
        <v>WA Public Utility Tax Adjustment</v>
      </c>
      <c r="AK9" s="100" t="str">
        <f>'Restating Adj'!AK9</f>
        <v>AFUDC Equity</v>
      </c>
      <c r="AL9" s="99" t="str">
        <f>'Restating Adj'!AL9</f>
        <v>WA Low Income Tax Credit</v>
      </c>
      <c r="AM9" s="101" t="str">
        <f>'Restating Adj'!AM9</f>
        <v>Wyoming Wind Generation Tax</v>
      </c>
      <c r="AN9" s="101" t="str">
        <f>'Restating Adj'!AN9</f>
        <v>Removal of TCJA Deferred Balances</v>
      </c>
      <c r="AO9" s="100" t="str">
        <f>'Restating Adj'!AO9</f>
        <v>Depreciation Study Adjustment Tax Impacts</v>
      </c>
      <c r="AP9" s="99" t="str">
        <f>'Restating Adj'!AP9</f>
        <v>Jim Bridger Mine Rate Base</v>
      </c>
      <c r="AQ9" s="100" t="str">
        <f>'Restating Adj'!AQ9</f>
        <v>Regulatory Assets and Liabilities Amortization</v>
      </c>
      <c r="AR9" s="99" t="str">
        <f>'Restating Adj'!AR9</f>
        <v>Customer Advances for Construction</v>
      </c>
      <c r="AS9" s="101" t="str">
        <f>'Restating Adj'!AS9</f>
        <v>Pro Forma Major Plant Additions</v>
      </c>
      <c r="AT9" s="101" t="str">
        <f>'Restating Adj'!AT9</f>
        <v>Miscellaneous Rate Base</v>
      </c>
      <c r="AU9" s="101" t="str">
        <f>'Restating Adj'!AU9</f>
        <v>Removal of Colstrip #4 AFUDC</v>
      </c>
      <c r="AV9" s="101" t="str">
        <f>'Restating Adj'!AV9</f>
        <v>Customer Service Deposits</v>
      </c>
      <c r="AW9" s="100" t="str">
        <f>'Restating Adj'!AW9</f>
        <v>Investor Supplied Working Capital</v>
      </c>
      <c r="AX9" s="99" t="str">
        <f>'Restating Adj'!AX9</f>
        <v>Removal of Bridger SCR</v>
      </c>
      <c r="AY9" s="101" t="str">
        <f>'Restating Adj'!AY9</f>
        <v>End-of-Period Plant Balances</v>
      </c>
      <c r="AZ9" s="101" t="str">
        <f>'Restating Adj'!AZ9</f>
        <v>Idaho Asset Exchange</v>
      </c>
      <c r="BA9" s="101" t="str">
        <f>'Restating Adj'!BA9</f>
        <v>Repowering Project Capital Additions</v>
      </c>
      <c r="BB9" s="101" t="str">
        <f>'Restating Adj'!BB9</f>
        <v>New Wind Generation and Associated Transmission Capital Additions</v>
      </c>
      <c r="BC9" s="100" t="str">
        <f>'Restating Adj'!BC9</f>
        <v>Other Plant Closure Costs</v>
      </c>
      <c r="BD9" s="99" t="str">
        <f>'Restating Adj'!BD9</f>
        <v>Production Factor</v>
      </c>
      <c r="BE9" s="101" t="str">
        <f>'Restating Adj'!BE9</f>
        <v>System Non-Emitting Resources Adjustment</v>
      </c>
      <c r="BF9" s="101" t="str">
        <f>'Restating Adj'!BF9</f>
        <v>System Transmission - New Adjustment</v>
      </c>
      <c r="BG9" s="100" t="str">
        <f>'Restating Adj'!BG9</f>
        <v>System Transmission - Existing Adjustment</v>
      </c>
    </row>
    <row r="10" spans="1:59" x14ac:dyDescent="0.2">
      <c r="B10" s="269"/>
      <c r="C10" s="37"/>
      <c r="F10" s="83"/>
      <c r="G10" s="158"/>
      <c r="H10" s="37"/>
      <c r="M10" s="83"/>
      <c r="N10" s="37"/>
      <c r="S10" s="83"/>
      <c r="T10" s="37"/>
      <c r="X10" s="83"/>
      <c r="Y10" s="158"/>
      <c r="Z10" s="37"/>
      <c r="AC10" s="83"/>
      <c r="AD10" s="37"/>
      <c r="AE10" s="83"/>
      <c r="AF10" s="37"/>
      <c r="AK10" s="83"/>
      <c r="AL10" s="37"/>
      <c r="AO10" s="83"/>
      <c r="AP10" s="37"/>
      <c r="AQ10" s="83"/>
      <c r="AR10" s="37"/>
      <c r="AW10" s="83"/>
      <c r="AX10" s="37"/>
      <c r="BC10" s="83"/>
      <c r="BD10" s="37"/>
      <c r="BG10" s="83"/>
    </row>
    <row r="11" spans="1:59" x14ac:dyDescent="0.2">
      <c r="A11" s="14" t="s">
        <v>45</v>
      </c>
      <c r="B11" s="28"/>
      <c r="C11" s="28"/>
      <c r="D11" s="12"/>
      <c r="E11" s="12"/>
      <c r="F11" s="75"/>
      <c r="G11" s="76"/>
      <c r="H11" s="28"/>
      <c r="I11" s="12"/>
      <c r="J11" s="12"/>
      <c r="K11" s="12"/>
      <c r="L11" s="12"/>
      <c r="M11" s="75"/>
      <c r="N11" s="28"/>
      <c r="O11" s="12"/>
      <c r="P11" s="12"/>
      <c r="Q11" s="12"/>
      <c r="R11" s="12"/>
      <c r="S11" s="75"/>
      <c r="T11" s="28"/>
      <c r="U11" s="12"/>
      <c r="V11" s="12"/>
      <c r="W11" s="12"/>
      <c r="X11" s="75"/>
      <c r="Y11" s="76"/>
      <c r="Z11" s="28"/>
      <c r="AA11" s="12"/>
      <c r="AB11" s="12"/>
      <c r="AC11" s="75"/>
      <c r="AD11" s="28"/>
      <c r="AE11" s="75"/>
      <c r="AF11" s="28"/>
      <c r="AG11" s="12"/>
      <c r="AH11" s="12"/>
      <c r="AI11" s="12"/>
      <c r="AJ11" s="12"/>
      <c r="AK11" s="75"/>
      <c r="AL11" s="28"/>
      <c r="AM11" s="12"/>
      <c r="AN11" s="12"/>
      <c r="AO11" s="75"/>
      <c r="AP11" s="28"/>
      <c r="AQ11" s="75"/>
      <c r="AR11" s="28"/>
      <c r="AS11" s="12"/>
      <c r="AT11" s="12"/>
      <c r="AU11" s="12"/>
      <c r="AV11" s="12"/>
      <c r="AW11" s="75"/>
      <c r="AX11" s="28"/>
      <c r="AY11" s="12"/>
      <c r="AZ11" s="12"/>
      <c r="BA11" s="12"/>
      <c r="BB11" s="12"/>
      <c r="BC11" s="75"/>
      <c r="BD11" s="28"/>
      <c r="BE11" s="12"/>
      <c r="BF11" s="12"/>
      <c r="BG11" s="75"/>
    </row>
    <row r="12" spans="1:59" x14ac:dyDescent="0.2">
      <c r="A12" s="14" t="s">
        <v>46</v>
      </c>
      <c r="B12" s="29">
        <f>SUM(C12:BG12)</f>
        <v>40023309.380773388</v>
      </c>
      <c r="C12" s="30">
        <f>'Restating Adj'!C12+'Pro Forma Adj'!C12</f>
        <v>-6463994.9400000004</v>
      </c>
      <c r="D12" s="79">
        <f>'Restating Adj'!D12+'Pro Forma Adj'!D12</f>
        <v>29321396.810773376</v>
      </c>
      <c r="E12" s="79">
        <f>'Restating Adj'!E12+'Pro Forma Adj'!E12</f>
        <v>0</v>
      </c>
      <c r="F12" s="80">
        <f>'Restating Adj'!F12+'Pro Forma Adj'!F12</f>
        <v>0</v>
      </c>
      <c r="G12" s="275">
        <f>'Restating Adj'!G12+'Pro Forma Adj'!G12</f>
        <v>0</v>
      </c>
      <c r="H12" s="30">
        <f>'Restating Adj'!H12+'Pro Forma Adj'!H12</f>
        <v>0</v>
      </c>
      <c r="I12" s="79">
        <f>'Restating Adj'!I12+'Pro Forma Adj'!I12</f>
        <v>0</v>
      </c>
      <c r="J12" s="79">
        <f>'Restating Adj'!J12+'Pro Forma Adj'!J12</f>
        <v>0</v>
      </c>
      <c r="K12" s="79">
        <f>'Restating Adj'!K12+'Pro Forma Adj'!K12</f>
        <v>0</v>
      </c>
      <c r="L12" s="79">
        <f>'Restating Adj'!L12+'Pro Forma Adj'!L12</f>
        <v>0</v>
      </c>
      <c r="M12" s="80">
        <f>'Restating Adj'!M12+'Pro Forma Adj'!M12</f>
        <v>0</v>
      </c>
      <c r="N12" s="30">
        <f>'Restating Adj'!N12+'Pro Forma Adj'!N12</f>
        <v>0</v>
      </c>
      <c r="O12" s="79">
        <f>'Restating Adj'!O12+'Pro Forma Adj'!O12</f>
        <v>0</v>
      </c>
      <c r="P12" s="79">
        <f>'Restating Adj'!P12+'Pro Forma Adj'!P12</f>
        <v>-252203.73</v>
      </c>
      <c r="Q12" s="79">
        <f>'Restating Adj'!Q12+'Pro Forma Adj'!Q12</f>
        <v>0</v>
      </c>
      <c r="R12" s="79">
        <f>'Restating Adj'!R12+'Pro Forma Adj'!R12</f>
        <v>0</v>
      </c>
      <c r="S12" s="80">
        <f>'Restating Adj'!S12+'Pro Forma Adj'!S12</f>
        <v>0</v>
      </c>
      <c r="T12" s="30">
        <f>'Restating Adj'!T12+'Pro Forma Adj'!T12</f>
        <v>0</v>
      </c>
      <c r="U12" s="79">
        <f>'Restating Adj'!U12+'Pro Forma Adj'!U12</f>
        <v>0</v>
      </c>
      <c r="V12" s="79">
        <f>'Restating Adj'!V12+'Pro Forma Adj'!V12</f>
        <v>0</v>
      </c>
      <c r="W12" s="79">
        <f>'Restating Adj'!W12+'Pro Forma Adj'!W12</f>
        <v>0</v>
      </c>
      <c r="X12" s="80">
        <f>'Restating Adj'!X12+'Pro Forma Adj'!X12</f>
        <v>0</v>
      </c>
      <c r="Y12" s="275">
        <f>'Restating Adj'!Y12+'Pro Forma Adj'!Y12</f>
        <v>0</v>
      </c>
      <c r="Z12" s="30">
        <f>'Restating Adj'!Z12+'Pro Forma Adj'!Z12</f>
        <v>0</v>
      </c>
      <c r="AA12" s="79">
        <f>'Restating Adj'!AA12+'Pro Forma Adj'!AA12</f>
        <v>0</v>
      </c>
      <c r="AB12" s="79">
        <f>'Restating Adj'!AB12+'Pro Forma Adj'!AB12</f>
        <v>0</v>
      </c>
      <c r="AC12" s="80">
        <f>'Restating Adj'!AC12+'Pro Forma Adj'!AC12</f>
        <v>0</v>
      </c>
      <c r="AD12" s="30">
        <f>'Restating Adj'!AD12+'Pro Forma Adj'!AD12</f>
        <v>0</v>
      </c>
      <c r="AE12" s="80">
        <f>'Restating Adj'!AE12+'Pro Forma Adj'!AE12</f>
        <v>0</v>
      </c>
      <c r="AF12" s="30">
        <f>'Restating Adj'!AF12+'Pro Forma Adj'!AF12</f>
        <v>0</v>
      </c>
      <c r="AG12" s="79">
        <f>'Restating Adj'!AG12+'Pro Forma Adj'!AG12</f>
        <v>0</v>
      </c>
      <c r="AH12" s="79">
        <f>'Restating Adj'!AH12+'Pro Forma Adj'!AH12</f>
        <v>0</v>
      </c>
      <c r="AI12" s="79">
        <f>'Restating Adj'!AI12+'Pro Forma Adj'!AI12</f>
        <v>0</v>
      </c>
      <c r="AJ12" s="79">
        <f>'Restating Adj'!AJ12+'Pro Forma Adj'!AJ12</f>
        <v>0</v>
      </c>
      <c r="AK12" s="80">
        <f>'Restating Adj'!AK12+'Pro Forma Adj'!AK12</f>
        <v>0</v>
      </c>
      <c r="AL12" s="30">
        <f>'Restating Adj'!AL12+'Pro Forma Adj'!AL12</f>
        <v>0</v>
      </c>
      <c r="AM12" s="79">
        <f>'Restating Adj'!AM12+'Pro Forma Adj'!AM12</f>
        <v>0</v>
      </c>
      <c r="AN12" s="79">
        <f>'Restating Adj'!AN12+'Pro Forma Adj'!AN12</f>
        <v>0</v>
      </c>
      <c r="AO12" s="80">
        <f>'Restating Adj'!AO12+'Pro Forma Adj'!AO12</f>
        <v>0</v>
      </c>
      <c r="AP12" s="30">
        <f>'Restating Adj'!AP12+'Pro Forma Adj'!AP12</f>
        <v>0</v>
      </c>
      <c r="AQ12" s="80">
        <f>'Restating Adj'!AQ12+'Pro Forma Adj'!AQ12</f>
        <v>17418111.240000013</v>
      </c>
      <c r="AR12" s="30">
        <f>'Restating Adj'!AR12+'Pro Forma Adj'!AR12</f>
        <v>0</v>
      </c>
      <c r="AS12" s="79">
        <f>'Restating Adj'!AS12+'Pro Forma Adj'!AS12</f>
        <v>0</v>
      </c>
      <c r="AT12" s="79">
        <f>'Restating Adj'!AT12+'Pro Forma Adj'!AT12</f>
        <v>0</v>
      </c>
      <c r="AU12" s="79">
        <f>'Restating Adj'!AU12+'Pro Forma Adj'!AU12</f>
        <v>0</v>
      </c>
      <c r="AV12" s="79">
        <f>'Restating Adj'!AV12+'Pro Forma Adj'!AV12</f>
        <v>0</v>
      </c>
      <c r="AW12" s="80">
        <f>'Restating Adj'!AW12+'Pro Forma Adj'!AW12</f>
        <v>0</v>
      </c>
      <c r="AX12" s="30">
        <f>'Restating Adj'!AX12+'Pro Forma Adj'!AX12</f>
        <v>0</v>
      </c>
      <c r="AY12" s="79">
        <f>'Restating Adj'!AY12+'Pro Forma Adj'!AY12</f>
        <v>0</v>
      </c>
      <c r="AZ12" s="79">
        <f>'Restating Adj'!AZ12+'Pro Forma Adj'!AZ12</f>
        <v>0</v>
      </c>
      <c r="BA12" s="79">
        <f>'Restating Adj'!BA12+'Pro Forma Adj'!BA12</f>
        <v>0</v>
      </c>
      <c r="BB12" s="79">
        <f>'Restating Adj'!BB12+'Pro Forma Adj'!BB12</f>
        <v>0</v>
      </c>
      <c r="BC12" s="80">
        <f>'Restating Adj'!BC12+'Pro Forma Adj'!BC12</f>
        <v>0</v>
      </c>
      <c r="BD12" s="30">
        <f>'Restating Adj'!BD12+'Pro Forma Adj'!BD12</f>
        <v>0</v>
      </c>
      <c r="BE12" s="79">
        <f>'Restating Adj'!BE12+'Pro Forma Adj'!BE12</f>
        <v>0</v>
      </c>
      <c r="BF12" s="79">
        <f>'Restating Adj'!BF12+'Pro Forma Adj'!BF12</f>
        <v>0</v>
      </c>
      <c r="BG12" s="80">
        <f>'Restating Adj'!BG12+'Pro Forma Adj'!BG12</f>
        <v>0</v>
      </c>
    </row>
    <row r="13" spans="1:59" x14ac:dyDescent="0.2">
      <c r="A13" s="14" t="s">
        <v>47</v>
      </c>
      <c r="B13" s="29">
        <f t="shared" ref="B13:B16" si="0">SUM(C13:BG13)</f>
        <v>0</v>
      </c>
      <c r="C13" s="30">
        <f>'Restating Adj'!C13+'Pro Forma Adj'!C13</f>
        <v>0</v>
      </c>
      <c r="D13" s="79">
        <f>'Restating Adj'!D13+'Pro Forma Adj'!D13</f>
        <v>0</v>
      </c>
      <c r="E13" s="79">
        <f>'Restating Adj'!E13+'Pro Forma Adj'!E13</f>
        <v>0</v>
      </c>
      <c r="F13" s="80">
        <f>'Restating Adj'!F13+'Pro Forma Adj'!F13</f>
        <v>0</v>
      </c>
      <c r="G13" s="275">
        <f>'Restating Adj'!G13+'Pro Forma Adj'!G13</f>
        <v>0</v>
      </c>
      <c r="H13" s="30">
        <f>'Restating Adj'!H13+'Pro Forma Adj'!H13</f>
        <v>0</v>
      </c>
      <c r="I13" s="79">
        <f>'Restating Adj'!I13+'Pro Forma Adj'!I13</f>
        <v>0</v>
      </c>
      <c r="J13" s="79">
        <f>'Restating Adj'!J13+'Pro Forma Adj'!J13</f>
        <v>0</v>
      </c>
      <c r="K13" s="79">
        <f>'Restating Adj'!K13+'Pro Forma Adj'!K13</f>
        <v>0</v>
      </c>
      <c r="L13" s="79">
        <f>'Restating Adj'!L13+'Pro Forma Adj'!L13</f>
        <v>0</v>
      </c>
      <c r="M13" s="80">
        <f>'Restating Adj'!M13+'Pro Forma Adj'!M13</f>
        <v>0</v>
      </c>
      <c r="N13" s="30">
        <f>'Restating Adj'!N13+'Pro Forma Adj'!N13</f>
        <v>0</v>
      </c>
      <c r="O13" s="79">
        <f>'Restating Adj'!O13+'Pro Forma Adj'!O13</f>
        <v>0</v>
      </c>
      <c r="P13" s="79">
        <f>'Restating Adj'!P13+'Pro Forma Adj'!P13</f>
        <v>0</v>
      </c>
      <c r="Q13" s="79">
        <f>'Restating Adj'!Q13+'Pro Forma Adj'!Q13</f>
        <v>0</v>
      </c>
      <c r="R13" s="79">
        <f>'Restating Adj'!R13+'Pro Forma Adj'!R13</f>
        <v>0</v>
      </c>
      <c r="S13" s="80">
        <f>'Restating Adj'!S13+'Pro Forma Adj'!S13</f>
        <v>0</v>
      </c>
      <c r="T13" s="30">
        <f>'Restating Adj'!T13+'Pro Forma Adj'!T13</f>
        <v>0</v>
      </c>
      <c r="U13" s="79">
        <f>'Restating Adj'!U13+'Pro Forma Adj'!U13</f>
        <v>0</v>
      </c>
      <c r="V13" s="79">
        <f>'Restating Adj'!V13+'Pro Forma Adj'!V13</f>
        <v>0</v>
      </c>
      <c r="W13" s="79">
        <f>'Restating Adj'!W13+'Pro Forma Adj'!W13</f>
        <v>0</v>
      </c>
      <c r="X13" s="80">
        <f>'Restating Adj'!X13+'Pro Forma Adj'!X13</f>
        <v>0</v>
      </c>
      <c r="Y13" s="275">
        <f>'Restating Adj'!Y13+'Pro Forma Adj'!Y13</f>
        <v>0</v>
      </c>
      <c r="Z13" s="30">
        <f>'Restating Adj'!Z13+'Pro Forma Adj'!Z13</f>
        <v>0</v>
      </c>
      <c r="AA13" s="79">
        <f>'Restating Adj'!AA13+'Pro Forma Adj'!AA13</f>
        <v>0</v>
      </c>
      <c r="AB13" s="79">
        <f>'Restating Adj'!AB13+'Pro Forma Adj'!AB13</f>
        <v>0</v>
      </c>
      <c r="AC13" s="80">
        <f>'Restating Adj'!AC13+'Pro Forma Adj'!AC13</f>
        <v>0</v>
      </c>
      <c r="AD13" s="30">
        <f>'Restating Adj'!AD13+'Pro Forma Adj'!AD13</f>
        <v>0</v>
      </c>
      <c r="AE13" s="80">
        <f>'Restating Adj'!AE13+'Pro Forma Adj'!AE13</f>
        <v>0</v>
      </c>
      <c r="AF13" s="30">
        <f>'Restating Adj'!AF13+'Pro Forma Adj'!AF13</f>
        <v>0</v>
      </c>
      <c r="AG13" s="79">
        <f>'Restating Adj'!AG13+'Pro Forma Adj'!AG13</f>
        <v>0</v>
      </c>
      <c r="AH13" s="79">
        <f>'Restating Adj'!AH13+'Pro Forma Adj'!AH13</f>
        <v>0</v>
      </c>
      <c r="AI13" s="79">
        <f>'Restating Adj'!AI13+'Pro Forma Adj'!AI13</f>
        <v>0</v>
      </c>
      <c r="AJ13" s="79">
        <f>'Restating Adj'!AJ13+'Pro Forma Adj'!AJ13</f>
        <v>0</v>
      </c>
      <c r="AK13" s="80">
        <f>'Restating Adj'!AK13+'Pro Forma Adj'!AK13</f>
        <v>0</v>
      </c>
      <c r="AL13" s="30">
        <f>'Restating Adj'!AL13+'Pro Forma Adj'!AL13</f>
        <v>0</v>
      </c>
      <c r="AM13" s="79">
        <f>'Restating Adj'!AM13+'Pro Forma Adj'!AM13</f>
        <v>0</v>
      </c>
      <c r="AN13" s="79">
        <f>'Restating Adj'!AN13+'Pro Forma Adj'!AN13</f>
        <v>0</v>
      </c>
      <c r="AO13" s="80">
        <f>'Restating Adj'!AO13+'Pro Forma Adj'!AO13</f>
        <v>0</v>
      </c>
      <c r="AP13" s="30">
        <f>'Restating Adj'!AP13+'Pro Forma Adj'!AP13</f>
        <v>0</v>
      </c>
      <c r="AQ13" s="80">
        <f>'Restating Adj'!AQ13+'Pro Forma Adj'!AQ13</f>
        <v>0</v>
      </c>
      <c r="AR13" s="30">
        <f>'Restating Adj'!AR13+'Pro Forma Adj'!AR13</f>
        <v>0</v>
      </c>
      <c r="AS13" s="79">
        <f>'Restating Adj'!AS13+'Pro Forma Adj'!AS13</f>
        <v>0</v>
      </c>
      <c r="AT13" s="79">
        <f>'Restating Adj'!AT13+'Pro Forma Adj'!AT13</f>
        <v>0</v>
      </c>
      <c r="AU13" s="79">
        <f>'Restating Adj'!AU13+'Pro Forma Adj'!AU13</f>
        <v>0</v>
      </c>
      <c r="AV13" s="79">
        <f>'Restating Adj'!AV13+'Pro Forma Adj'!AV13</f>
        <v>0</v>
      </c>
      <c r="AW13" s="80">
        <f>'Restating Adj'!AW13+'Pro Forma Adj'!AW13</f>
        <v>0</v>
      </c>
      <c r="AX13" s="30">
        <f>'Restating Adj'!AX13+'Pro Forma Adj'!AX13</f>
        <v>0</v>
      </c>
      <c r="AY13" s="79">
        <f>'Restating Adj'!AY13+'Pro Forma Adj'!AY13</f>
        <v>0</v>
      </c>
      <c r="AZ13" s="79">
        <f>'Restating Adj'!AZ13+'Pro Forma Adj'!AZ13</f>
        <v>0</v>
      </c>
      <c r="BA13" s="79">
        <f>'Restating Adj'!BA13+'Pro Forma Adj'!BA13</f>
        <v>0</v>
      </c>
      <c r="BB13" s="79">
        <f>'Restating Adj'!BB13+'Pro Forma Adj'!BB13</f>
        <v>0</v>
      </c>
      <c r="BC13" s="80">
        <f>'Restating Adj'!BC13+'Pro Forma Adj'!BC13</f>
        <v>0</v>
      </c>
      <c r="BD13" s="30">
        <f>'Restating Adj'!BD13+'Pro Forma Adj'!BD13</f>
        <v>0</v>
      </c>
      <c r="BE13" s="79">
        <f>'Restating Adj'!BE13+'Pro Forma Adj'!BE13</f>
        <v>0</v>
      </c>
      <c r="BF13" s="79">
        <f>'Restating Adj'!BF13+'Pro Forma Adj'!BF13</f>
        <v>0</v>
      </c>
      <c r="BG13" s="80">
        <f>'Restating Adj'!BG13+'Pro Forma Adj'!BG13</f>
        <v>0</v>
      </c>
    </row>
    <row r="14" spans="1:59" x14ac:dyDescent="0.2">
      <c r="A14" s="14" t="s">
        <v>48</v>
      </c>
      <c r="B14" s="29">
        <f t="shared" si="0"/>
        <v>-14866338.791918496</v>
      </c>
      <c r="C14" s="30">
        <f>'Restating Adj'!C14+'Pro Forma Adj'!C14</f>
        <v>0</v>
      </c>
      <c r="D14" s="79">
        <f>'Restating Adj'!D14+'Pro Forma Adj'!D14</f>
        <v>0</v>
      </c>
      <c r="E14" s="79">
        <f>'Restating Adj'!E14+'Pro Forma Adj'!E14</f>
        <v>0</v>
      </c>
      <c r="F14" s="80">
        <f>'Restating Adj'!F14+'Pro Forma Adj'!F14</f>
        <v>0</v>
      </c>
      <c r="G14" s="275">
        <f>'Restating Adj'!G14+'Pro Forma Adj'!G14</f>
        <v>0</v>
      </c>
      <c r="H14" s="30">
        <f>'Restating Adj'!H14+'Pro Forma Adj'!H14</f>
        <v>0</v>
      </c>
      <c r="I14" s="79">
        <f>'Restating Adj'!I14+'Pro Forma Adj'!I14</f>
        <v>0</v>
      </c>
      <c r="J14" s="79">
        <f>'Restating Adj'!J14+'Pro Forma Adj'!J14</f>
        <v>0</v>
      </c>
      <c r="K14" s="79">
        <f>'Restating Adj'!K14+'Pro Forma Adj'!K14</f>
        <v>0</v>
      </c>
      <c r="L14" s="79">
        <f>'Restating Adj'!L14+'Pro Forma Adj'!L14</f>
        <v>0</v>
      </c>
      <c r="M14" s="80">
        <f>'Restating Adj'!M14+'Pro Forma Adj'!M14</f>
        <v>0</v>
      </c>
      <c r="N14" s="30">
        <f>'Restating Adj'!N14+'Pro Forma Adj'!N14</f>
        <v>0</v>
      </c>
      <c r="O14" s="79">
        <f>'Restating Adj'!O14+'Pro Forma Adj'!O14</f>
        <v>0</v>
      </c>
      <c r="P14" s="79">
        <f>'Restating Adj'!P14+'Pro Forma Adj'!P14</f>
        <v>0</v>
      </c>
      <c r="Q14" s="79">
        <f>'Restating Adj'!Q14+'Pro Forma Adj'!Q14</f>
        <v>0</v>
      </c>
      <c r="R14" s="79">
        <f>'Restating Adj'!R14+'Pro Forma Adj'!R14</f>
        <v>0</v>
      </c>
      <c r="S14" s="80">
        <f>'Restating Adj'!S14+'Pro Forma Adj'!S14</f>
        <v>0</v>
      </c>
      <c r="T14" s="30">
        <f>'Restating Adj'!T14+'Pro Forma Adj'!T14</f>
        <v>0</v>
      </c>
      <c r="U14" s="79">
        <f>'Restating Adj'!U14+'Pro Forma Adj'!U14</f>
        <v>-14800952.647608532</v>
      </c>
      <c r="V14" s="79">
        <f>'Restating Adj'!V14+'Pro Forma Adj'!V14</f>
        <v>0</v>
      </c>
      <c r="W14" s="79">
        <f>'Restating Adj'!W14+'Pro Forma Adj'!W14</f>
        <v>0</v>
      </c>
      <c r="X14" s="80">
        <f>'Restating Adj'!X14+'Pro Forma Adj'!X14</f>
        <v>0</v>
      </c>
      <c r="Y14" s="275">
        <f>'Restating Adj'!Y14+'Pro Forma Adj'!Y14</f>
        <v>0</v>
      </c>
      <c r="Z14" s="30">
        <f>'Restating Adj'!Z14+'Pro Forma Adj'!Z14</f>
        <v>0</v>
      </c>
      <c r="AA14" s="79">
        <f>'Restating Adj'!AA14+'Pro Forma Adj'!AA14</f>
        <v>0</v>
      </c>
      <c r="AB14" s="79">
        <f>'Restating Adj'!AB14+'Pro Forma Adj'!AB14</f>
        <v>0</v>
      </c>
      <c r="AC14" s="80">
        <f>'Restating Adj'!AC14+'Pro Forma Adj'!AC14</f>
        <v>0</v>
      </c>
      <c r="AD14" s="30">
        <f>'Restating Adj'!AD14+'Pro Forma Adj'!AD14</f>
        <v>0</v>
      </c>
      <c r="AE14" s="80">
        <f>'Restating Adj'!AE14+'Pro Forma Adj'!AE14</f>
        <v>0</v>
      </c>
      <c r="AF14" s="30">
        <f>'Restating Adj'!AF14+'Pro Forma Adj'!AF14</f>
        <v>0</v>
      </c>
      <c r="AG14" s="79">
        <f>'Restating Adj'!AG14+'Pro Forma Adj'!AG14</f>
        <v>0</v>
      </c>
      <c r="AH14" s="79">
        <f>'Restating Adj'!AH14+'Pro Forma Adj'!AH14</f>
        <v>0</v>
      </c>
      <c r="AI14" s="79">
        <f>'Restating Adj'!AI14+'Pro Forma Adj'!AI14</f>
        <v>0</v>
      </c>
      <c r="AJ14" s="79">
        <f>'Restating Adj'!AJ14+'Pro Forma Adj'!AJ14</f>
        <v>0</v>
      </c>
      <c r="AK14" s="80">
        <f>'Restating Adj'!AK14+'Pro Forma Adj'!AK14</f>
        <v>0</v>
      </c>
      <c r="AL14" s="30">
        <f>'Restating Adj'!AL14+'Pro Forma Adj'!AL14</f>
        <v>0</v>
      </c>
      <c r="AM14" s="79">
        <f>'Restating Adj'!AM14+'Pro Forma Adj'!AM14</f>
        <v>0</v>
      </c>
      <c r="AN14" s="79">
        <f>'Restating Adj'!AN14+'Pro Forma Adj'!AN14</f>
        <v>0</v>
      </c>
      <c r="AO14" s="80">
        <f>'Restating Adj'!AO14+'Pro Forma Adj'!AO14</f>
        <v>0</v>
      </c>
      <c r="AP14" s="30">
        <f>'Restating Adj'!AP14+'Pro Forma Adj'!AP14</f>
        <v>0</v>
      </c>
      <c r="AQ14" s="80">
        <f>'Restating Adj'!AQ14+'Pro Forma Adj'!AQ14</f>
        <v>0</v>
      </c>
      <c r="AR14" s="30">
        <f>'Restating Adj'!AR14+'Pro Forma Adj'!AR14</f>
        <v>0</v>
      </c>
      <c r="AS14" s="79">
        <f>'Restating Adj'!AS14+'Pro Forma Adj'!AS14</f>
        <v>0</v>
      </c>
      <c r="AT14" s="79">
        <f>'Restating Adj'!AT14+'Pro Forma Adj'!AT14</f>
        <v>0</v>
      </c>
      <c r="AU14" s="79">
        <f>'Restating Adj'!AU14+'Pro Forma Adj'!AU14</f>
        <v>0</v>
      </c>
      <c r="AV14" s="79">
        <f>'Restating Adj'!AV14+'Pro Forma Adj'!AV14</f>
        <v>0</v>
      </c>
      <c r="AW14" s="80">
        <f>'Restating Adj'!AW14+'Pro Forma Adj'!AW14</f>
        <v>0</v>
      </c>
      <c r="AX14" s="30">
        <f>'Restating Adj'!AX14+'Pro Forma Adj'!AX14</f>
        <v>0</v>
      </c>
      <c r="AY14" s="79">
        <f>'Restating Adj'!AY14+'Pro Forma Adj'!AY14</f>
        <v>0</v>
      </c>
      <c r="AZ14" s="79">
        <f>'Restating Adj'!AZ14+'Pro Forma Adj'!AZ14</f>
        <v>0</v>
      </c>
      <c r="BA14" s="79">
        <f>'Restating Adj'!BA14+'Pro Forma Adj'!BA14</f>
        <v>0</v>
      </c>
      <c r="BB14" s="79">
        <f>'Restating Adj'!BB14+'Pro Forma Adj'!BB14</f>
        <v>0</v>
      </c>
      <c r="BC14" s="80">
        <f>'Restating Adj'!BC14+'Pro Forma Adj'!BC14</f>
        <v>0</v>
      </c>
      <c r="BD14" s="30">
        <f>'Restating Adj'!BD14+'Pro Forma Adj'!BD14</f>
        <v>-65386.144309964031</v>
      </c>
      <c r="BE14" s="79">
        <f>'Restating Adj'!BE14+'Pro Forma Adj'!BE14</f>
        <v>0</v>
      </c>
      <c r="BF14" s="79">
        <f>'Restating Adj'!BF14+'Pro Forma Adj'!BF14</f>
        <v>0</v>
      </c>
      <c r="BG14" s="80">
        <f>'Restating Adj'!BG14+'Pro Forma Adj'!BG14</f>
        <v>0</v>
      </c>
    </row>
    <row r="15" spans="1:59" x14ac:dyDescent="0.2">
      <c r="A15" s="14" t="s">
        <v>49</v>
      </c>
      <c r="B15" s="29">
        <f t="shared" si="0"/>
        <v>1162274.933229411</v>
      </c>
      <c r="C15" s="30">
        <f>'Restating Adj'!C15+'Pro Forma Adj'!C15</f>
        <v>0</v>
      </c>
      <c r="D15" s="79">
        <f>'Restating Adj'!D15+'Pro Forma Adj'!D15</f>
        <v>0</v>
      </c>
      <c r="E15" s="79">
        <f>'Restating Adj'!E15+'Pro Forma Adj'!E15</f>
        <v>62032.559575037958</v>
      </c>
      <c r="F15" s="80">
        <f>'Restating Adj'!F15+'Pro Forma Adj'!F15</f>
        <v>456610.92888002045</v>
      </c>
      <c r="G15" s="275">
        <f>'Restating Adj'!G15+'Pro Forma Adj'!G15</f>
        <v>0</v>
      </c>
      <c r="H15" s="30">
        <f>'Restating Adj'!H15+'Pro Forma Adj'!H15</f>
        <v>0</v>
      </c>
      <c r="I15" s="79">
        <f>'Restating Adj'!I15+'Pro Forma Adj'!I15</f>
        <v>0</v>
      </c>
      <c r="J15" s="79">
        <f>'Restating Adj'!J15+'Pro Forma Adj'!J15</f>
        <v>0</v>
      </c>
      <c r="K15" s="79">
        <f>'Restating Adj'!K15+'Pro Forma Adj'!K15</f>
        <v>0</v>
      </c>
      <c r="L15" s="79">
        <f>'Restating Adj'!L15+'Pro Forma Adj'!L15</f>
        <v>0</v>
      </c>
      <c r="M15" s="80">
        <f>'Restating Adj'!M15+'Pro Forma Adj'!M15</f>
        <v>0</v>
      </c>
      <c r="N15" s="30">
        <f>'Restating Adj'!N15+'Pro Forma Adj'!N15</f>
        <v>0</v>
      </c>
      <c r="O15" s="79">
        <f>'Restating Adj'!O15+'Pro Forma Adj'!O15</f>
        <v>-427912.20158807386</v>
      </c>
      <c r="P15" s="79">
        <f>'Restating Adj'!P15+'Pro Forma Adj'!P15</f>
        <v>0</v>
      </c>
      <c r="Q15" s="79">
        <f>'Restating Adj'!Q15+'Pro Forma Adj'!Q15</f>
        <v>0</v>
      </c>
      <c r="R15" s="79">
        <f>'Restating Adj'!R15+'Pro Forma Adj'!R15</f>
        <v>0</v>
      </c>
      <c r="S15" s="80">
        <f>'Restating Adj'!S15+'Pro Forma Adj'!S15</f>
        <v>0</v>
      </c>
      <c r="T15" s="30">
        <f>'Restating Adj'!T15+'Pro Forma Adj'!T15</f>
        <v>0</v>
      </c>
      <c r="U15" s="79">
        <f>'Restating Adj'!U15+'Pro Forma Adj'!U15</f>
        <v>0</v>
      </c>
      <c r="V15" s="79">
        <f>'Restating Adj'!V15+'Pro Forma Adj'!V15</f>
        <v>0</v>
      </c>
      <c r="W15" s="79">
        <f>'Restating Adj'!W15+'Pro Forma Adj'!W15</f>
        <v>0</v>
      </c>
      <c r="X15" s="80">
        <f>'Restating Adj'!X15+'Pro Forma Adj'!X15</f>
        <v>0</v>
      </c>
      <c r="Y15" s="275">
        <f>'Restating Adj'!Y15+'Pro Forma Adj'!Y15</f>
        <v>0</v>
      </c>
      <c r="Z15" s="30">
        <f>'Restating Adj'!Z15+'Pro Forma Adj'!Z15</f>
        <v>0</v>
      </c>
      <c r="AA15" s="79">
        <f>'Restating Adj'!AA15+'Pro Forma Adj'!AA15</f>
        <v>0</v>
      </c>
      <c r="AB15" s="79">
        <f>'Restating Adj'!AB15+'Pro Forma Adj'!AB15</f>
        <v>0</v>
      </c>
      <c r="AC15" s="80">
        <f>'Restating Adj'!AC15+'Pro Forma Adj'!AC15</f>
        <v>0</v>
      </c>
      <c r="AD15" s="30">
        <f>'Restating Adj'!AD15+'Pro Forma Adj'!AD15</f>
        <v>0</v>
      </c>
      <c r="AE15" s="80">
        <f>'Restating Adj'!AE15+'Pro Forma Adj'!AE15</f>
        <v>0</v>
      </c>
      <c r="AF15" s="30">
        <f>'Restating Adj'!AF15+'Pro Forma Adj'!AF15</f>
        <v>0</v>
      </c>
      <c r="AG15" s="79">
        <f>'Restating Adj'!AG15+'Pro Forma Adj'!AG15</f>
        <v>0</v>
      </c>
      <c r="AH15" s="79">
        <f>'Restating Adj'!AH15+'Pro Forma Adj'!AH15</f>
        <v>0</v>
      </c>
      <c r="AI15" s="79">
        <f>'Restating Adj'!AI15+'Pro Forma Adj'!AI15</f>
        <v>0</v>
      </c>
      <c r="AJ15" s="79">
        <f>'Restating Adj'!AJ15+'Pro Forma Adj'!AJ15</f>
        <v>0</v>
      </c>
      <c r="AK15" s="80">
        <f>'Restating Adj'!AK15+'Pro Forma Adj'!AK15</f>
        <v>0</v>
      </c>
      <c r="AL15" s="30">
        <f>'Restating Adj'!AL15+'Pro Forma Adj'!AL15</f>
        <v>0</v>
      </c>
      <c r="AM15" s="79">
        <f>'Restating Adj'!AM15+'Pro Forma Adj'!AM15</f>
        <v>0</v>
      </c>
      <c r="AN15" s="79">
        <f>'Restating Adj'!AN15+'Pro Forma Adj'!AN15</f>
        <v>0</v>
      </c>
      <c r="AO15" s="80">
        <f>'Restating Adj'!AO15+'Pro Forma Adj'!AO15</f>
        <v>0</v>
      </c>
      <c r="AP15" s="30">
        <f>'Restating Adj'!AP15+'Pro Forma Adj'!AP15</f>
        <v>0</v>
      </c>
      <c r="AQ15" s="80">
        <f>'Restating Adj'!AQ15+'Pro Forma Adj'!AQ15</f>
        <v>47809.260000000009</v>
      </c>
      <c r="AR15" s="30">
        <f>'Restating Adj'!AR15+'Pro Forma Adj'!AR15</f>
        <v>0</v>
      </c>
      <c r="AS15" s="79">
        <f>'Restating Adj'!AS15+'Pro Forma Adj'!AS15</f>
        <v>0</v>
      </c>
      <c r="AT15" s="79">
        <f>'Restating Adj'!AT15+'Pro Forma Adj'!AT15</f>
        <v>0</v>
      </c>
      <c r="AU15" s="79">
        <f>'Restating Adj'!AU15+'Pro Forma Adj'!AU15</f>
        <v>0</v>
      </c>
      <c r="AV15" s="79">
        <f>'Restating Adj'!AV15+'Pro Forma Adj'!AV15</f>
        <v>0</v>
      </c>
      <c r="AW15" s="80">
        <f>'Restating Adj'!AW15+'Pro Forma Adj'!AW15</f>
        <v>0</v>
      </c>
      <c r="AX15" s="30">
        <f>'Restating Adj'!AX15+'Pro Forma Adj'!AX15</f>
        <v>0</v>
      </c>
      <c r="AY15" s="79">
        <f>'Restating Adj'!AY15+'Pro Forma Adj'!AY15</f>
        <v>0</v>
      </c>
      <c r="AZ15" s="79">
        <f>'Restating Adj'!AZ15+'Pro Forma Adj'!AZ15</f>
        <v>0</v>
      </c>
      <c r="BA15" s="79">
        <f>'Restating Adj'!BA15+'Pro Forma Adj'!BA15</f>
        <v>0</v>
      </c>
      <c r="BB15" s="79">
        <f>'Restating Adj'!BB15+'Pro Forma Adj'!BB15</f>
        <v>0</v>
      </c>
      <c r="BC15" s="80">
        <f>'Restating Adj'!BC15+'Pro Forma Adj'!BC15</f>
        <v>0</v>
      </c>
      <c r="BD15" s="30">
        <f>'Restating Adj'!BD15+'Pro Forma Adj'!BD15</f>
        <v>-9999.7793424724368</v>
      </c>
      <c r="BE15" s="79">
        <f>'Restating Adj'!BE15+'Pro Forma Adj'!BE15</f>
        <v>0</v>
      </c>
      <c r="BF15" s="79">
        <f>'Restating Adj'!BF15+'Pro Forma Adj'!BF15</f>
        <v>0</v>
      </c>
      <c r="BG15" s="80">
        <f>'Restating Adj'!BG15+'Pro Forma Adj'!BG15</f>
        <v>1033734.165704899</v>
      </c>
    </row>
    <row r="16" spans="1:59" x14ac:dyDescent="0.2">
      <c r="A16" s="14" t="s">
        <v>50</v>
      </c>
      <c r="B16" s="31">
        <f t="shared" si="0"/>
        <v>26319245.522084299</v>
      </c>
      <c r="C16" s="31">
        <f>SUM(C12:C15)</f>
        <v>-6463994.9400000004</v>
      </c>
      <c r="D16" s="81">
        <f t="shared" ref="D16:AS16" si="1">SUM(D12:D15)</f>
        <v>29321396.810773376</v>
      </c>
      <c r="E16" s="81">
        <f t="shared" si="1"/>
        <v>62032.559575037958</v>
      </c>
      <c r="F16" s="82">
        <f t="shared" si="1"/>
        <v>456610.92888002045</v>
      </c>
      <c r="G16" s="151">
        <f t="shared" si="1"/>
        <v>0</v>
      </c>
      <c r="H16" s="31">
        <f t="shared" si="1"/>
        <v>0</v>
      </c>
      <c r="I16" s="81">
        <f t="shared" si="1"/>
        <v>0</v>
      </c>
      <c r="J16" s="81">
        <f t="shared" si="1"/>
        <v>0</v>
      </c>
      <c r="K16" s="81">
        <f t="shared" si="1"/>
        <v>0</v>
      </c>
      <c r="L16" s="81">
        <f t="shared" si="1"/>
        <v>0</v>
      </c>
      <c r="M16" s="82">
        <f t="shared" si="1"/>
        <v>0</v>
      </c>
      <c r="N16" s="31">
        <f t="shared" si="1"/>
        <v>0</v>
      </c>
      <c r="O16" s="81">
        <f t="shared" si="1"/>
        <v>-427912.20158807386</v>
      </c>
      <c r="P16" s="81">
        <f t="shared" si="1"/>
        <v>-252203.73</v>
      </c>
      <c r="Q16" s="81">
        <f t="shared" si="1"/>
        <v>0</v>
      </c>
      <c r="R16" s="81">
        <f t="shared" si="1"/>
        <v>0</v>
      </c>
      <c r="S16" s="82">
        <f t="shared" si="1"/>
        <v>0</v>
      </c>
      <c r="T16" s="31">
        <f t="shared" ref="T16:U16" si="2">SUM(T12:T15)</f>
        <v>0</v>
      </c>
      <c r="U16" s="81">
        <f t="shared" si="2"/>
        <v>-14800952.647608532</v>
      </c>
      <c r="V16" s="81">
        <f t="shared" ref="V16:W16" si="3">SUM(V12:V15)</f>
        <v>0</v>
      </c>
      <c r="W16" s="81">
        <f t="shared" si="3"/>
        <v>0</v>
      </c>
      <c r="X16" s="82">
        <f t="shared" ref="X16" si="4">SUM(X12:X15)</f>
        <v>0</v>
      </c>
      <c r="Y16" s="151">
        <f t="shared" si="1"/>
        <v>0</v>
      </c>
      <c r="Z16" s="31">
        <f t="shared" si="1"/>
        <v>0</v>
      </c>
      <c r="AA16" s="81">
        <f t="shared" si="1"/>
        <v>0</v>
      </c>
      <c r="AB16" s="81">
        <f t="shared" si="1"/>
        <v>0</v>
      </c>
      <c r="AC16" s="82">
        <f t="shared" ref="AC16" si="5">SUM(AC12:AC15)</f>
        <v>0</v>
      </c>
      <c r="AD16" s="31">
        <f t="shared" si="1"/>
        <v>0</v>
      </c>
      <c r="AE16" s="82">
        <f t="shared" si="1"/>
        <v>0</v>
      </c>
      <c r="AF16" s="31">
        <f t="shared" si="1"/>
        <v>0</v>
      </c>
      <c r="AG16" s="81">
        <f t="shared" si="1"/>
        <v>0</v>
      </c>
      <c r="AH16" s="81">
        <f t="shared" si="1"/>
        <v>0</v>
      </c>
      <c r="AI16" s="81">
        <f t="shared" si="1"/>
        <v>0</v>
      </c>
      <c r="AJ16" s="81">
        <f t="shared" si="1"/>
        <v>0</v>
      </c>
      <c r="AK16" s="82">
        <f t="shared" si="1"/>
        <v>0</v>
      </c>
      <c r="AL16" s="31">
        <f t="shared" si="1"/>
        <v>0</v>
      </c>
      <c r="AM16" s="81">
        <f t="shared" ref="AM16:AO16" si="6">SUM(AM12:AM15)</f>
        <v>0</v>
      </c>
      <c r="AN16" s="81">
        <f t="shared" si="6"/>
        <v>0</v>
      </c>
      <c r="AO16" s="82">
        <f t="shared" si="6"/>
        <v>0</v>
      </c>
      <c r="AP16" s="31">
        <f t="shared" si="1"/>
        <v>0</v>
      </c>
      <c r="AQ16" s="82">
        <f t="shared" si="1"/>
        <v>17465920.500000015</v>
      </c>
      <c r="AR16" s="31">
        <f t="shared" si="1"/>
        <v>0</v>
      </c>
      <c r="AS16" s="81">
        <f t="shared" si="1"/>
        <v>0</v>
      </c>
      <c r="AT16" s="81">
        <f t="shared" ref="AT16:BB16" si="7">SUM(AT12:AT15)</f>
        <v>0</v>
      </c>
      <c r="AU16" s="81">
        <f t="shared" si="7"/>
        <v>0</v>
      </c>
      <c r="AV16" s="81">
        <f t="shared" si="7"/>
        <v>0</v>
      </c>
      <c r="AW16" s="82">
        <f t="shared" si="7"/>
        <v>0</v>
      </c>
      <c r="AX16" s="31">
        <f t="shared" si="7"/>
        <v>0</v>
      </c>
      <c r="AY16" s="81">
        <f t="shared" si="7"/>
        <v>0</v>
      </c>
      <c r="AZ16" s="81">
        <f t="shared" si="7"/>
        <v>0</v>
      </c>
      <c r="BA16" s="81">
        <f t="shared" si="7"/>
        <v>0</v>
      </c>
      <c r="BB16" s="81">
        <f t="shared" si="7"/>
        <v>0</v>
      </c>
      <c r="BC16" s="82">
        <f t="shared" ref="BC16" si="8">SUM(BC12:BC15)</f>
        <v>0</v>
      </c>
      <c r="BD16" s="31">
        <f t="shared" ref="BD16:BG16" si="9">SUM(BD12:BD15)</f>
        <v>-75385.923652436468</v>
      </c>
      <c r="BE16" s="81">
        <f t="shared" si="9"/>
        <v>0</v>
      </c>
      <c r="BF16" s="81">
        <f t="shared" si="9"/>
        <v>0</v>
      </c>
      <c r="BG16" s="82">
        <f t="shared" si="9"/>
        <v>1033734.165704899</v>
      </c>
    </row>
    <row r="17" spans="1:59" x14ac:dyDescent="0.2">
      <c r="A17" s="14"/>
      <c r="B17" s="28"/>
      <c r="C17" s="28"/>
      <c r="D17" s="12"/>
      <c r="E17" s="12"/>
      <c r="F17" s="75"/>
      <c r="G17" s="76"/>
      <c r="H17" s="28"/>
      <c r="I17" s="12"/>
      <c r="J17" s="12"/>
      <c r="K17" s="12"/>
      <c r="L17" s="12"/>
      <c r="M17" s="75"/>
      <c r="N17" s="28"/>
      <c r="O17" s="12"/>
      <c r="P17" s="12"/>
      <c r="Q17" s="12"/>
      <c r="R17" s="12"/>
      <c r="S17" s="75"/>
      <c r="T17" s="28"/>
      <c r="U17" s="12"/>
      <c r="V17" s="12"/>
      <c r="W17" s="12"/>
      <c r="X17" s="75"/>
      <c r="Y17" s="76"/>
      <c r="Z17" s="28"/>
      <c r="AA17" s="12"/>
      <c r="AB17" s="12"/>
      <c r="AC17" s="75"/>
      <c r="AD17" s="28"/>
      <c r="AE17" s="75"/>
      <c r="AF17" s="28"/>
      <c r="AG17" s="12"/>
      <c r="AH17" s="12"/>
      <c r="AI17" s="12"/>
      <c r="AJ17" s="12"/>
      <c r="AK17" s="75"/>
      <c r="AL17" s="28"/>
      <c r="AM17" s="12"/>
      <c r="AN17" s="12"/>
      <c r="AO17" s="75"/>
      <c r="AP17" s="28"/>
      <c r="AQ17" s="75"/>
      <c r="AR17" s="28"/>
      <c r="AS17" s="12"/>
      <c r="AT17" s="12"/>
      <c r="AU17" s="12"/>
      <c r="AV17" s="12"/>
      <c r="AW17" s="75"/>
      <c r="AX17" s="28"/>
      <c r="AY17" s="12"/>
      <c r="AZ17" s="12"/>
      <c r="BA17" s="12"/>
      <c r="BB17" s="12"/>
      <c r="BC17" s="75"/>
      <c r="BD17" s="28"/>
      <c r="BE17" s="12"/>
      <c r="BF17" s="12"/>
      <c r="BG17" s="75"/>
    </row>
    <row r="18" spans="1:59" x14ac:dyDescent="0.2">
      <c r="A18" s="14" t="s">
        <v>51</v>
      </c>
      <c r="B18" s="28">
        <f t="shared" ref="B18:B38" si="10">SUM(C18:BG18)</f>
        <v>0</v>
      </c>
      <c r="C18" s="28"/>
      <c r="D18" s="12"/>
      <c r="E18" s="12"/>
      <c r="F18" s="75"/>
      <c r="G18" s="76"/>
      <c r="H18" s="28"/>
      <c r="I18" s="12"/>
      <c r="J18" s="12"/>
      <c r="K18" s="12"/>
      <c r="L18" s="12"/>
      <c r="M18" s="75"/>
      <c r="N18" s="28"/>
      <c r="O18" s="12"/>
      <c r="P18" s="12"/>
      <c r="Q18" s="12"/>
      <c r="R18" s="12"/>
      <c r="S18" s="75"/>
      <c r="T18" s="28"/>
      <c r="U18" s="12"/>
      <c r="V18" s="12"/>
      <c r="W18" s="12"/>
      <c r="X18" s="75"/>
      <c r="Y18" s="76"/>
      <c r="Z18" s="28"/>
      <c r="AA18" s="12"/>
      <c r="AB18" s="12"/>
      <c r="AC18" s="75"/>
      <c r="AD18" s="28"/>
      <c r="AE18" s="75"/>
      <c r="AF18" s="28"/>
      <c r="AG18" s="12"/>
      <c r="AH18" s="12"/>
      <c r="AI18" s="12"/>
      <c r="AJ18" s="12"/>
      <c r="AK18" s="75"/>
      <c r="AL18" s="28"/>
      <c r="AM18" s="12"/>
      <c r="AN18" s="12"/>
      <c r="AO18" s="75"/>
      <c r="AP18" s="28"/>
      <c r="AQ18" s="75"/>
      <c r="AR18" s="28"/>
      <c r="AS18" s="12"/>
      <c r="AT18" s="12"/>
      <c r="AU18" s="12"/>
      <c r="AV18" s="12"/>
      <c r="AW18" s="75"/>
      <c r="AX18" s="28"/>
      <c r="AY18" s="12"/>
      <c r="AZ18" s="12"/>
      <c r="BA18" s="12"/>
      <c r="BB18" s="12"/>
      <c r="BC18" s="75"/>
      <c r="BD18" s="28"/>
      <c r="BE18" s="12"/>
      <c r="BF18" s="12"/>
      <c r="BG18" s="75"/>
    </row>
    <row r="19" spans="1:59" x14ac:dyDescent="0.2">
      <c r="A19" s="14" t="s">
        <v>52</v>
      </c>
      <c r="B19" s="29">
        <f t="shared" si="10"/>
        <v>2924559.8280816525</v>
      </c>
      <c r="C19" s="30">
        <f>'Restating Adj'!C19+'Pro Forma Adj'!C19</f>
        <v>0</v>
      </c>
      <c r="D19" s="79">
        <f>'Restating Adj'!D19+'Pro Forma Adj'!D19</f>
        <v>0</v>
      </c>
      <c r="E19" s="79">
        <f>'Restating Adj'!E19+'Pro Forma Adj'!E19</f>
        <v>0</v>
      </c>
      <c r="F19" s="80">
        <f>'Restating Adj'!F19+'Pro Forma Adj'!F19</f>
        <v>0</v>
      </c>
      <c r="G19" s="275">
        <f>'Restating Adj'!G19+'Pro Forma Adj'!G19</f>
        <v>0</v>
      </c>
      <c r="H19" s="30">
        <f>'Restating Adj'!H19+'Pro Forma Adj'!H19</f>
        <v>31038.910210584381</v>
      </c>
      <c r="I19" s="79">
        <f>'Restating Adj'!I19+'Pro Forma Adj'!I19</f>
        <v>221873.44761927234</v>
      </c>
      <c r="J19" s="79">
        <f>'Restating Adj'!J19+'Pro Forma Adj'!J19</f>
        <v>0</v>
      </c>
      <c r="K19" s="79">
        <f>'Restating Adj'!K19+'Pro Forma Adj'!K19</f>
        <v>0</v>
      </c>
      <c r="L19" s="79">
        <f>'Restating Adj'!L19+'Pro Forma Adj'!L19</f>
        <v>0</v>
      </c>
      <c r="M19" s="80">
        <f>'Restating Adj'!M19+'Pro Forma Adj'!M19</f>
        <v>0</v>
      </c>
      <c r="N19" s="30">
        <f>'Restating Adj'!N19+'Pro Forma Adj'!N19</f>
        <v>0</v>
      </c>
      <c r="O19" s="79">
        <f>'Restating Adj'!O19+'Pro Forma Adj'!O19</f>
        <v>0</v>
      </c>
      <c r="P19" s="79">
        <f>'Restating Adj'!P19+'Pro Forma Adj'!P19</f>
        <v>0</v>
      </c>
      <c r="Q19" s="79">
        <f>'Restating Adj'!Q19+'Pro Forma Adj'!Q19</f>
        <v>0</v>
      </c>
      <c r="R19" s="79">
        <f>'Restating Adj'!R19+'Pro Forma Adj'!R19</f>
        <v>0</v>
      </c>
      <c r="S19" s="80">
        <f>'Restating Adj'!S19+'Pro Forma Adj'!S19</f>
        <v>0</v>
      </c>
      <c r="T19" s="30">
        <f>'Restating Adj'!T19+'Pro Forma Adj'!T19</f>
        <v>0</v>
      </c>
      <c r="U19" s="79">
        <f>'Restating Adj'!U19+'Pro Forma Adj'!U19</f>
        <v>-4819811.2950298265</v>
      </c>
      <c r="V19" s="79">
        <f>'Restating Adj'!V19+'Pro Forma Adj'!V19</f>
        <v>-529037.06254319963</v>
      </c>
      <c r="W19" s="79">
        <f>'Restating Adj'!W19+'Pro Forma Adj'!W19</f>
        <v>0</v>
      </c>
      <c r="X19" s="80">
        <f>'Restating Adj'!X19+'Pro Forma Adj'!X19</f>
        <v>0</v>
      </c>
      <c r="Y19" s="275">
        <f>'Restating Adj'!Y19+'Pro Forma Adj'!Y19</f>
        <v>0</v>
      </c>
      <c r="Z19" s="30">
        <f>'Restating Adj'!Z19+'Pro Forma Adj'!Z19</f>
        <v>0</v>
      </c>
      <c r="AA19" s="79">
        <f>'Restating Adj'!AA19+'Pro Forma Adj'!AA19</f>
        <v>0</v>
      </c>
      <c r="AB19" s="79">
        <f>'Restating Adj'!AB19+'Pro Forma Adj'!AB19</f>
        <v>0</v>
      </c>
      <c r="AC19" s="80">
        <f>'Restating Adj'!AC19+'Pro Forma Adj'!AC19</f>
        <v>51760.195371981739</v>
      </c>
      <c r="AD19" s="30">
        <f>'Restating Adj'!AD19+'Pro Forma Adj'!AD19</f>
        <v>0</v>
      </c>
      <c r="AE19" s="80">
        <f>'Restating Adj'!AE19+'Pro Forma Adj'!AE19</f>
        <v>0</v>
      </c>
      <c r="AF19" s="30">
        <f>'Restating Adj'!AF19+'Pro Forma Adj'!AF19</f>
        <v>0</v>
      </c>
      <c r="AG19" s="79">
        <f>'Restating Adj'!AG19+'Pro Forma Adj'!AG19</f>
        <v>0</v>
      </c>
      <c r="AH19" s="79">
        <f>'Restating Adj'!AH19+'Pro Forma Adj'!AH19</f>
        <v>0</v>
      </c>
      <c r="AI19" s="79">
        <f>'Restating Adj'!AI19+'Pro Forma Adj'!AI19</f>
        <v>0</v>
      </c>
      <c r="AJ19" s="79">
        <f>'Restating Adj'!AJ19+'Pro Forma Adj'!AJ19</f>
        <v>0</v>
      </c>
      <c r="AK19" s="80">
        <f>'Restating Adj'!AK19+'Pro Forma Adj'!AK19</f>
        <v>0</v>
      </c>
      <c r="AL19" s="30">
        <f>'Restating Adj'!AL19+'Pro Forma Adj'!AL19</f>
        <v>0</v>
      </c>
      <c r="AM19" s="79">
        <f>'Restating Adj'!AM19+'Pro Forma Adj'!AM19</f>
        <v>0</v>
      </c>
      <c r="AN19" s="79">
        <f>'Restating Adj'!AN19+'Pro Forma Adj'!AN19</f>
        <v>0</v>
      </c>
      <c r="AO19" s="80">
        <f>'Restating Adj'!AO19+'Pro Forma Adj'!AO19</f>
        <v>0</v>
      </c>
      <c r="AP19" s="30">
        <f>'Restating Adj'!AP19+'Pro Forma Adj'!AP19</f>
        <v>0</v>
      </c>
      <c r="AQ19" s="80">
        <f>'Restating Adj'!AQ19+'Pro Forma Adj'!AQ19</f>
        <v>0</v>
      </c>
      <c r="AR19" s="30">
        <f>'Restating Adj'!AR19+'Pro Forma Adj'!AR19</f>
        <v>0</v>
      </c>
      <c r="AS19" s="79">
        <f>'Restating Adj'!AS19+'Pro Forma Adj'!AS19</f>
        <v>0</v>
      </c>
      <c r="AT19" s="79">
        <f>'Restating Adj'!AT19+'Pro Forma Adj'!AT19</f>
        <v>0</v>
      </c>
      <c r="AU19" s="79">
        <f>'Restating Adj'!AU19+'Pro Forma Adj'!AU19</f>
        <v>0</v>
      </c>
      <c r="AV19" s="79">
        <f>'Restating Adj'!AV19+'Pro Forma Adj'!AV19</f>
        <v>0</v>
      </c>
      <c r="AW19" s="80">
        <f>'Restating Adj'!AW19+'Pro Forma Adj'!AW19</f>
        <v>0</v>
      </c>
      <c r="AX19" s="30">
        <f>'Restating Adj'!AX19+'Pro Forma Adj'!AX19</f>
        <v>0</v>
      </c>
      <c r="AY19" s="79">
        <f>'Restating Adj'!AY19+'Pro Forma Adj'!AY19</f>
        <v>0</v>
      </c>
      <c r="AZ19" s="79">
        <f>'Restating Adj'!AZ19+'Pro Forma Adj'!AZ19</f>
        <v>0</v>
      </c>
      <c r="BA19" s="79">
        <f>'Restating Adj'!BA19+'Pro Forma Adj'!BA19</f>
        <v>0</v>
      </c>
      <c r="BB19" s="79">
        <f>'Restating Adj'!BB19+'Pro Forma Adj'!BB19</f>
        <v>0</v>
      </c>
      <c r="BC19" s="80">
        <f>'Restating Adj'!BC19+'Pro Forma Adj'!BC19</f>
        <v>8498026.3756711129</v>
      </c>
      <c r="BD19" s="30">
        <f>'Restating Adj'!BD19+'Pro Forma Adj'!BD19</f>
        <v>-1132973.696211217</v>
      </c>
      <c r="BE19" s="79">
        <f>'Restating Adj'!BE19+'Pro Forma Adj'!BE19</f>
        <v>603682.95299294405</v>
      </c>
      <c r="BF19" s="79">
        <f>'Restating Adj'!BF19+'Pro Forma Adj'!BF19</f>
        <v>0</v>
      </c>
      <c r="BG19" s="80">
        <f>'Restating Adj'!BG19+'Pro Forma Adj'!BG19</f>
        <v>0</v>
      </c>
    </row>
    <row r="20" spans="1:59" x14ac:dyDescent="0.2">
      <c r="A20" s="14" t="s">
        <v>53</v>
      </c>
      <c r="B20" s="29">
        <f t="shared" si="10"/>
        <v>0</v>
      </c>
      <c r="C20" s="30">
        <f>'Restating Adj'!C20+'Pro Forma Adj'!C20</f>
        <v>0</v>
      </c>
      <c r="D20" s="79">
        <f>'Restating Adj'!D20+'Pro Forma Adj'!D20</f>
        <v>0</v>
      </c>
      <c r="E20" s="79">
        <f>'Restating Adj'!E20+'Pro Forma Adj'!E20</f>
        <v>0</v>
      </c>
      <c r="F20" s="80">
        <f>'Restating Adj'!F20+'Pro Forma Adj'!F20</f>
        <v>0</v>
      </c>
      <c r="G20" s="275">
        <f>'Restating Adj'!G20+'Pro Forma Adj'!G20</f>
        <v>0</v>
      </c>
      <c r="H20" s="30">
        <f>'Restating Adj'!H20+'Pro Forma Adj'!H20</f>
        <v>0</v>
      </c>
      <c r="I20" s="79">
        <f>'Restating Adj'!I20+'Pro Forma Adj'!I20</f>
        <v>0</v>
      </c>
      <c r="J20" s="79">
        <f>'Restating Adj'!J20+'Pro Forma Adj'!J20</f>
        <v>0</v>
      </c>
      <c r="K20" s="79">
        <f>'Restating Adj'!K20+'Pro Forma Adj'!K20</f>
        <v>0</v>
      </c>
      <c r="L20" s="79">
        <f>'Restating Adj'!L20+'Pro Forma Adj'!L20</f>
        <v>0</v>
      </c>
      <c r="M20" s="80">
        <f>'Restating Adj'!M20+'Pro Forma Adj'!M20</f>
        <v>0</v>
      </c>
      <c r="N20" s="30">
        <f>'Restating Adj'!N20+'Pro Forma Adj'!N20</f>
        <v>0</v>
      </c>
      <c r="O20" s="79">
        <f>'Restating Adj'!O20+'Pro Forma Adj'!O20</f>
        <v>0</v>
      </c>
      <c r="P20" s="79">
        <f>'Restating Adj'!P20+'Pro Forma Adj'!P20</f>
        <v>0</v>
      </c>
      <c r="Q20" s="79">
        <f>'Restating Adj'!Q20+'Pro Forma Adj'!Q20</f>
        <v>0</v>
      </c>
      <c r="R20" s="79">
        <f>'Restating Adj'!R20+'Pro Forma Adj'!R20</f>
        <v>0</v>
      </c>
      <c r="S20" s="80">
        <f>'Restating Adj'!S20+'Pro Forma Adj'!S20</f>
        <v>0</v>
      </c>
      <c r="T20" s="30">
        <f>'Restating Adj'!T20+'Pro Forma Adj'!T20</f>
        <v>0</v>
      </c>
      <c r="U20" s="79">
        <f>'Restating Adj'!U20+'Pro Forma Adj'!U20</f>
        <v>0</v>
      </c>
      <c r="V20" s="79">
        <f>'Restating Adj'!V20+'Pro Forma Adj'!V20</f>
        <v>0</v>
      </c>
      <c r="W20" s="79">
        <f>'Restating Adj'!W20+'Pro Forma Adj'!W20</f>
        <v>0</v>
      </c>
      <c r="X20" s="80">
        <f>'Restating Adj'!X20+'Pro Forma Adj'!X20</f>
        <v>0</v>
      </c>
      <c r="Y20" s="275">
        <f>'Restating Adj'!Y20+'Pro Forma Adj'!Y20</f>
        <v>0</v>
      </c>
      <c r="Z20" s="30">
        <f>'Restating Adj'!Z20+'Pro Forma Adj'!Z20</f>
        <v>0</v>
      </c>
      <c r="AA20" s="79">
        <f>'Restating Adj'!AA20+'Pro Forma Adj'!AA20</f>
        <v>0</v>
      </c>
      <c r="AB20" s="79">
        <f>'Restating Adj'!AB20+'Pro Forma Adj'!AB20</f>
        <v>0</v>
      </c>
      <c r="AC20" s="80">
        <f>'Restating Adj'!AC20+'Pro Forma Adj'!AC20</f>
        <v>0</v>
      </c>
      <c r="AD20" s="30">
        <f>'Restating Adj'!AD20+'Pro Forma Adj'!AD20</f>
        <v>0</v>
      </c>
      <c r="AE20" s="80">
        <f>'Restating Adj'!AE20+'Pro Forma Adj'!AE20</f>
        <v>0</v>
      </c>
      <c r="AF20" s="30">
        <f>'Restating Adj'!AF20+'Pro Forma Adj'!AF20</f>
        <v>0</v>
      </c>
      <c r="AG20" s="79">
        <f>'Restating Adj'!AG20+'Pro Forma Adj'!AG20</f>
        <v>0</v>
      </c>
      <c r="AH20" s="79">
        <f>'Restating Adj'!AH20+'Pro Forma Adj'!AH20</f>
        <v>0</v>
      </c>
      <c r="AI20" s="79">
        <f>'Restating Adj'!AI20+'Pro Forma Adj'!AI20</f>
        <v>0</v>
      </c>
      <c r="AJ20" s="79">
        <f>'Restating Adj'!AJ20+'Pro Forma Adj'!AJ20</f>
        <v>0</v>
      </c>
      <c r="AK20" s="80">
        <f>'Restating Adj'!AK20+'Pro Forma Adj'!AK20</f>
        <v>0</v>
      </c>
      <c r="AL20" s="30">
        <f>'Restating Adj'!AL20+'Pro Forma Adj'!AL20</f>
        <v>0</v>
      </c>
      <c r="AM20" s="79">
        <f>'Restating Adj'!AM20+'Pro Forma Adj'!AM20</f>
        <v>0</v>
      </c>
      <c r="AN20" s="79">
        <f>'Restating Adj'!AN20+'Pro Forma Adj'!AN20</f>
        <v>0</v>
      </c>
      <c r="AO20" s="80">
        <f>'Restating Adj'!AO20+'Pro Forma Adj'!AO20</f>
        <v>0</v>
      </c>
      <c r="AP20" s="30">
        <f>'Restating Adj'!AP20+'Pro Forma Adj'!AP20</f>
        <v>0</v>
      </c>
      <c r="AQ20" s="80">
        <f>'Restating Adj'!AQ20+'Pro Forma Adj'!AQ20</f>
        <v>0</v>
      </c>
      <c r="AR20" s="30">
        <f>'Restating Adj'!AR20+'Pro Forma Adj'!AR20</f>
        <v>0</v>
      </c>
      <c r="AS20" s="79">
        <f>'Restating Adj'!AS20+'Pro Forma Adj'!AS20</f>
        <v>0</v>
      </c>
      <c r="AT20" s="79">
        <f>'Restating Adj'!AT20+'Pro Forma Adj'!AT20</f>
        <v>0</v>
      </c>
      <c r="AU20" s="79">
        <f>'Restating Adj'!AU20+'Pro Forma Adj'!AU20</f>
        <v>0</v>
      </c>
      <c r="AV20" s="79">
        <f>'Restating Adj'!AV20+'Pro Forma Adj'!AV20</f>
        <v>0</v>
      </c>
      <c r="AW20" s="80">
        <f>'Restating Adj'!AW20+'Pro Forma Adj'!AW20</f>
        <v>0</v>
      </c>
      <c r="AX20" s="30">
        <f>'Restating Adj'!AX20+'Pro Forma Adj'!AX20</f>
        <v>0</v>
      </c>
      <c r="AY20" s="79">
        <f>'Restating Adj'!AY20+'Pro Forma Adj'!AY20</f>
        <v>0</v>
      </c>
      <c r="AZ20" s="79">
        <f>'Restating Adj'!AZ20+'Pro Forma Adj'!AZ20</f>
        <v>0</v>
      </c>
      <c r="BA20" s="79">
        <f>'Restating Adj'!BA20+'Pro Forma Adj'!BA20</f>
        <v>0</v>
      </c>
      <c r="BB20" s="79">
        <f>'Restating Adj'!BB20+'Pro Forma Adj'!BB20</f>
        <v>0</v>
      </c>
      <c r="BC20" s="80">
        <f>'Restating Adj'!BC20+'Pro Forma Adj'!BC20</f>
        <v>0</v>
      </c>
      <c r="BD20" s="30">
        <f>'Restating Adj'!BD20+'Pro Forma Adj'!BD20</f>
        <v>0</v>
      </c>
      <c r="BE20" s="79">
        <f>'Restating Adj'!BE20+'Pro Forma Adj'!BE20</f>
        <v>0</v>
      </c>
      <c r="BF20" s="79">
        <f>'Restating Adj'!BF20+'Pro Forma Adj'!BF20</f>
        <v>0</v>
      </c>
      <c r="BG20" s="80">
        <f>'Restating Adj'!BG20+'Pro Forma Adj'!BG20</f>
        <v>0</v>
      </c>
    </row>
    <row r="21" spans="1:59" x14ac:dyDescent="0.2">
      <c r="A21" s="14" t="s">
        <v>54</v>
      </c>
      <c r="B21" s="29">
        <f t="shared" si="10"/>
        <v>-3434664.2402629922</v>
      </c>
      <c r="C21" s="30">
        <f>'Restating Adj'!C21+'Pro Forma Adj'!C21</f>
        <v>0</v>
      </c>
      <c r="D21" s="79">
        <f>'Restating Adj'!D21+'Pro Forma Adj'!D21</f>
        <v>0</v>
      </c>
      <c r="E21" s="79">
        <f>'Restating Adj'!E21+'Pro Forma Adj'!E21</f>
        <v>0</v>
      </c>
      <c r="F21" s="80">
        <f>'Restating Adj'!F21+'Pro Forma Adj'!F21</f>
        <v>0</v>
      </c>
      <c r="G21" s="275">
        <f>'Restating Adj'!G21+'Pro Forma Adj'!G21</f>
        <v>0</v>
      </c>
      <c r="H21" s="30">
        <f>'Restating Adj'!H21+'Pro Forma Adj'!H21</f>
        <v>19916.905241114458</v>
      </c>
      <c r="I21" s="79">
        <f>'Restating Adj'!I21+'Pro Forma Adj'!I21</f>
        <v>142370.73408091225</v>
      </c>
      <c r="J21" s="79">
        <f>'Restating Adj'!J21+'Pro Forma Adj'!J21</f>
        <v>0</v>
      </c>
      <c r="K21" s="79">
        <f>'Restating Adj'!K21+'Pro Forma Adj'!K21</f>
        <v>0</v>
      </c>
      <c r="L21" s="79">
        <f>'Restating Adj'!L21+'Pro Forma Adj'!L21</f>
        <v>0</v>
      </c>
      <c r="M21" s="80">
        <f>'Restating Adj'!M21+'Pro Forma Adj'!M21</f>
        <v>0</v>
      </c>
      <c r="N21" s="30">
        <f>'Restating Adj'!N21+'Pro Forma Adj'!N21</f>
        <v>0</v>
      </c>
      <c r="O21" s="79">
        <f>'Restating Adj'!O21+'Pro Forma Adj'!O21</f>
        <v>0</v>
      </c>
      <c r="P21" s="79">
        <f>'Restating Adj'!P21+'Pro Forma Adj'!P21</f>
        <v>0</v>
      </c>
      <c r="Q21" s="79">
        <f>'Restating Adj'!Q21+'Pro Forma Adj'!Q21</f>
        <v>0</v>
      </c>
      <c r="R21" s="79">
        <f>'Restating Adj'!R21+'Pro Forma Adj'!R21</f>
        <v>0</v>
      </c>
      <c r="S21" s="80">
        <f>'Restating Adj'!S21+'Pro Forma Adj'!S21</f>
        <v>0</v>
      </c>
      <c r="T21" s="30">
        <f>'Restating Adj'!T21+'Pro Forma Adj'!T21</f>
        <v>0</v>
      </c>
      <c r="U21" s="79">
        <f>'Restating Adj'!U21+'Pro Forma Adj'!U21</f>
        <v>0</v>
      </c>
      <c r="V21" s="79">
        <f>'Restating Adj'!V21+'Pro Forma Adj'!V21</f>
        <v>0</v>
      </c>
      <c r="W21" s="79">
        <f>'Restating Adj'!W21+'Pro Forma Adj'!W21</f>
        <v>0</v>
      </c>
      <c r="X21" s="80">
        <f>'Restating Adj'!X21+'Pro Forma Adj'!X21</f>
        <v>0</v>
      </c>
      <c r="Y21" s="275">
        <f>'Restating Adj'!Y21+'Pro Forma Adj'!Y21</f>
        <v>0</v>
      </c>
      <c r="Z21" s="30">
        <f>'Restating Adj'!Z21+'Pro Forma Adj'!Z21</f>
        <v>0</v>
      </c>
      <c r="AA21" s="79">
        <f>'Restating Adj'!AA21+'Pro Forma Adj'!AA21</f>
        <v>0</v>
      </c>
      <c r="AB21" s="79">
        <f>'Restating Adj'!AB21+'Pro Forma Adj'!AB21</f>
        <v>0</v>
      </c>
      <c r="AC21" s="80">
        <f>'Restating Adj'!AC21+'Pro Forma Adj'!AC21</f>
        <v>17854.508316736094</v>
      </c>
      <c r="AD21" s="30">
        <f>'Restating Adj'!AD21+'Pro Forma Adj'!AD21</f>
        <v>0</v>
      </c>
      <c r="AE21" s="80">
        <f>'Restating Adj'!AE21+'Pro Forma Adj'!AE21</f>
        <v>0</v>
      </c>
      <c r="AF21" s="30">
        <f>'Restating Adj'!AF21+'Pro Forma Adj'!AF21</f>
        <v>0</v>
      </c>
      <c r="AG21" s="79">
        <f>'Restating Adj'!AG21+'Pro Forma Adj'!AG21</f>
        <v>0</v>
      </c>
      <c r="AH21" s="79">
        <f>'Restating Adj'!AH21+'Pro Forma Adj'!AH21</f>
        <v>0</v>
      </c>
      <c r="AI21" s="79">
        <f>'Restating Adj'!AI21+'Pro Forma Adj'!AI21</f>
        <v>0</v>
      </c>
      <c r="AJ21" s="79">
        <f>'Restating Adj'!AJ21+'Pro Forma Adj'!AJ21</f>
        <v>0</v>
      </c>
      <c r="AK21" s="80">
        <f>'Restating Adj'!AK21+'Pro Forma Adj'!AK21</f>
        <v>0</v>
      </c>
      <c r="AL21" s="30">
        <f>'Restating Adj'!AL21+'Pro Forma Adj'!AL21</f>
        <v>0</v>
      </c>
      <c r="AM21" s="79">
        <f>'Restating Adj'!AM21+'Pro Forma Adj'!AM21</f>
        <v>0</v>
      </c>
      <c r="AN21" s="79">
        <f>'Restating Adj'!AN21+'Pro Forma Adj'!AN21</f>
        <v>0</v>
      </c>
      <c r="AO21" s="80">
        <f>'Restating Adj'!AO21+'Pro Forma Adj'!AO21</f>
        <v>0</v>
      </c>
      <c r="AP21" s="30">
        <f>'Restating Adj'!AP21+'Pro Forma Adj'!AP21</f>
        <v>0</v>
      </c>
      <c r="AQ21" s="80">
        <f>'Restating Adj'!AQ21+'Pro Forma Adj'!AQ21</f>
        <v>0</v>
      </c>
      <c r="AR21" s="30">
        <f>'Restating Adj'!AR21+'Pro Forma Adj'!AR21</f>
        <v>0</v>
      </c>
      <c r="AS21" s="79">
        <f>'Restating Adj'!AS21+'Pro Forma Adj'!AS21</f>
        <v>0</v>
      </c>
      <c r="AT21" s="79">
        <f>'Restating Adj'!AT21+'Pro Forma Adj'!AT21</f>
        <v>0</v>
      </c>
      <c r="AU21" s="79">
        <f>'Restating Adj'!AU21+'Pro Forma Adj'!AU21</f>
        <v>0</v>
      </c>
      <c r="AV21" s="79">
        <f>'Restating Adj'!AV21+'Pro Forma Adj'!AV21</f>
        <v>0</v>
      </c>
      <c r="AW21" s="80">
        <f>'Restating Adj'!AW21+'Pro Forma Adj'!AW21</f>
        <v>0</v>
      </c>
      <c r="AX21" s="30">
        <f>'Restating Adj'!AX21+'Pro Forma Adj'!AX21</f>
        <v>0</v>
      </c>
      <c r="AY21" s="79">
        <f>'Restating Adj'!AY21+'Pro Forma Adj'!AY21</f>
        <v>0</v>
      </c>
      <c r="AZ21" s="79">
        <f>'Restating Adj'!AZ21+'Pro Forma Adj'!AZ21</f>
        <v>0</v>
      </c>
      <c r="BA21" s="79">
        <f>'Restating Adj'!BA21+'Pro Forma Adj'!BA21</f>
        <v>0</v>
      </c>
      <c r="BB21" s="79">
        <f>'Restating Adj'!BB21+'Pro Forma Adj'!BB21</f>
        <v>0</v>
      </c>
      <c r="BC21" s="80">
        <f>'Restating Adj'!BC21+'Pro Forma Adj'!BC21</f>
        <v>0</v>
      </c>
      <c r="BD21" s="30">
        <f>'Restating Adj'!BD21+'Pro Forma Adj'!BD21</f>
        <v>0</v>
      </c>
      <c r="BE21" s="79">
        <f>'Restating Adj'!BE21+'Pro Forma Adj'!BE21</f>
        <v>-3614806.387901755</v>
      </c>
      <c r="BF21" s="79">
        <f>'Restating Adj'!BF21+'Pro Forma Adj'!BF21</f>
        <v>0</v>
      </c>
      <c r="BG21" s="80">
        <f>'Restating Adj'!BG21+'Pro Forma Adj'!BG21</f>
        <v>0</v>
      </c>
    </row>
    <row r="22" spans="1:59" x14ac:dyDescent="0.2">
      <c r="A22" s="14" t="s">
        <v>55</v>
      </c>
      <c r="B22" s="29">
        <f t="shared" si="10"/>
        <v>-1784401.0998346156</v>
      </c>
      <c r="C22" s="30">
        <f>'Restating Adj'!C22+'Pro Forma Adj'!C22</f>
        <v>0</v>
      </c>
      <c r="D22" s="79">
        <f>'Restating Adj'!D22+'Pro Forma Adj'!D22</f>
        <v>0</v>
      </c>
      <c r="E22" s="79">
        <f>'Restating Adj'!E22+'Pro Forma Adj'!E22</f>
        <v>0</v>
      </c>
      <c r="F22" s="80">
        <f>'Restating Adj'!F22+'Pro Forma Adj'!F22</f>
        <v>0</v>
      </c>
      <c r="G22" s="275">
        <f>'Restating Adj'!G22+'Pro Forma Adj'!G22</f>
        <v>-403.41853329627918</v>
      </c>
      <c r="H22" s="30">
        <f>'Restating Adj'!H22+'Pro Forma Adj'!H22</f>
        <v>19282.019845188963</v>
      </c>
      <c r="I22" s="79">
        <f>'Restating Adj'!I22+'Pro Forma Adj'!I22</f>
        <v>137832.42359638104</v>
      </c>
      <c r="J22" s="79">
        <f>'Restating Adj'!J22+'Pro Forma Adj'!J22</f>
        <v>40091.775593346334</v>
      </c>
      <c r="K22" s="79">
        <f>'Restating Adj'!K22+'Pro Forma Adj'!K22</f>
        <v>0</v>
      </c>
      <c r="L22" s="79">
        <f>'Restating Adj'!L22+'Pro Forma Adj'!L22</f>
        <v>0</v>
      </c>
      <c r="M22" s="80">
        <f>'Restating Adj'!M22+'Pro Forma Adj'!M22</f>
        <v>0</v>
      </c>
      <c r="N22" s="30">
        <f>'Restating Adj'!N22+'Pro Forma Adj'!N22</f>
        <v>97751.513517230647</v>
      </c>
      <c r="O22" s="79">
        <f>'Restating Adj'!O22+'Pro Forma Adj'!O22</f>
        <v>0</v>
      </c>
      <c r="P22" s="79">
        <f>'Restating Adj'!P22+'Pro Forma Adj'!P22</f>
        <v>0</v>
      </c>
      <c r="Q22" s="79">
        <f>'Restating Adj'!Q22+'Pro Forma Adj'!Q22</f>
        <v>0</v>
      </c>
      <c r="R22" s="79">
        <f>'Restating Adj'!R22+'Pro Forma Adj'!R22</f>
        <v>0</v>
      </c>
      <c r="S22" s="80">
        <f>'Restating Adj'!S22+'Pro Forma Adj'!S22</f>
        <v>0</v>
      </c>
      <c r="T22" s="30">
        <f>'Restating Adj'!T22+'Pro Forma Adj'!T22</f>
        <v>-5675631.1503366409</v>
      </c>
      <c r="U22" s="79">
        <f>'Restating Adj'!U22+'Pro Forma Adj'!U22</f>
        <v>2768149.0818852447</v>
      </c>
      <c r="V22" s="79">
        <f>'Restating Adj'!V22+'Pro Forma Adj'!V22</f>
        <v>0</v>
      </c>
      <c r="W22" s="79">
        <f>'Restating Adj'!W22+'Pro Forma Adj'!W22</f>
        <v>160000</v>
      </c>
      <c r="X22" s="80">
        <f>'Restating Adj'!X22+'Pro Forma Adj'!X22</f>
        <v>39055.520699857421</v>
      </c>
      <c r="Y22" s="275">
        <f>'Restating Adj'!Y22+'Pro Forma Adj'!Y22</f>
        <v>0</v>
      </c>
      <c r="Z22" s="30">
        <f>'Restating Adj'!Z22+'Pro Forma Adj'!Z22</f>
        <v>0</v>
      </c>
      <c r="AA22" s="79">
        <f>'Restating Adj'!AA22+'Pro Forma Adj'!AA22</f>
        <v>0</v>
      </c>
      <c r="AB22" s="79">
        <f>'Restating Adj'!AB22+'Pro Forma Adj'!AB22</f>
        <v>0</v>
      </c>
      <c r="AC22" s="80">
        <f>'Restating Adj'!AC22+'Pro Forma Adj'!AC22</f>
        <v>15623.621030583408</v>
      </c>
      <c r="AD22" s="30">
        <f>'Restating Adj'!AD22+'Pro Forma Adj'!AD22</f>
        <v>0</v>
      </c>
      <c r="AE22" s="80">
        <f>'Restating Adj'!AE22+'Pro Forma Adj'!AE22</f>
        <v>0</v>
      </c>
      <c r="AF22" s="30">
        <f>'Restating Adj'!AF22+'Pro Forma Adj'!AF22</f>
        <v>0</v>
      </c>
      <c r="AG22" s="79">
        <f>'Restating Adj'!AG22+'Pro Forma Adj'!AG22</f>
        <v>0</v>
      </c>
      <c r="AH22" s="79">
        <f>'Restating Adj'!AH22+'Pro Forma Adj'!AH22</f>
        <v>0</v>
      </c>
      <c r="AI22" s="79">
        <f>'Restating Adj'!AI22+'Pro Forma Adj'!AI22</f>
        <v>0</v>
      </c>
      <c r="AJ22" s="79">
        <f>'Restating Adj'!AJ22+'Pro Forma Adj'!AJ22</f>
        <v>0</v>
      </c>
      <c r="AK22" s="80">
        <f>'Restating Adj'!AK22+'Pro Forma Adj'!AK22</f>
        <v>0</v>
      </c>
      <c r="AL22" s="30">
        <f>'Restating Adj'!AL22+'Pro Forma Adj'!AL22</f>
        <v>0</v>
      </c>
      <c r="AM22" s="79">
        <f>'Restating Adj'!AM22+'Pro Forma Adj'!AM22</f>
        <v>0</v>
      </c>
      <c r="AN22" s="79">
        <f>'Restating Adj'!AN22+'Pro Forma Adj'!AN22</f>
        <v>0</v>
      </c>
      <c r="AO22" s="80">
        <f>'Restating Adj'!AO22+'Pro Forma Adj'!AO22</f>
        <v>0</v>
      </c>
      <c r="AP22" s="30">
        <f>'Restating Adj'!AP22+'Pro Forma Adj'!AP22</f>
        <v>0</v>
      </c>
      <c r="AQ22" s="80">
        <f>'Restating Adj'!AQ22+'Pro Forma Adj'!AQ22</f>
        <v>99999.999999999985</v>
      </c>
      <c r="AR22" s="30">
        <f>'Restating Adj'!AR22+'Pro Forma Adj'!AR22</f>
        <v>0</v>
      </c>
      <c r="AS22" s="79">
        <f>'Restating Adj'!AS22+'Pro Forma Adj'!AS22</f>
        <v>0</v>
      </c>
      <c r="AT22" s="79">
        <f>'Restating Adj'!AT22+'Pro Forma Adj'!AT22</f>
        <v>0</v>
      </c>
      <c r="AU22" s="79">
        <f>'Restating Adj'!AU22+'Pro Forma Adj'!AU22</f>
        <v>0</v>
      </c>
      <c r="AV22" s="79">
        <f>'Restating Adj'!AV22+'Pro Forma Adj'!AV22</f>
        <v>0</v>
      </c>
      <c r="AW22" s="80">
        <f>'Restating Adj'!AW22+'Pro Forma Adj'!AW22</f>
        <v>0</v>
      </c>
      <c r="AX22" s="30">
        <f>'Restating Adj'!AX22+'Pro Forma Adj'!AX22</f>
        <v>0</v>
      </c>
      <c r="AY22" s="79">
        <f>'Restating Adj'!AY22+'Pro Forma Adj'!AY22</f>
        <v>0</v>
      </c>
      <c r="AZ22" s="79">
        <f>'Restating Adj'!AZ22+'Pro Forma Adj'!AZ22</f>
        <v>0</v>
      </c>
      <c r="BA22" s="79">
        <f>'Restating Adj'!BA22+'Pro Forma Adj'!BA22</f>
        <v>0</v>
      </c>
      <c r="BB22" s="79">
        <f>'Restating Adj'!BB22+'Pro Forma Adj'!BB22</f>
        <v>1557310.668266339</v>
      </c>
      <c r="BC22" s="80">
        <f>'Restating Adj'!BC22+'Pro Forma Adj'!BC22</f>
        <v>0</v>
      </c>
      <c r="BD22" s="30">
        <f>'Restating Adj'!BD22+'Pro Forma Adj'!BD22</f>
        <v>-1052100.0048153268</v>
      </c>
      <c r="BE22" s="79">
        <f>'Restating Adj'!BE22+'Pro Forma Adj'!BE22</f>
        <v>8636.8494164773729</v>
      </c>
      <c r="BF22" s="79">
        <f>'Restating Adj'!BF22+'Pro Forma Adj'!BF22</f>
        <v>0</v>
      </c>
      <c r="BG22" s="80">
        <f>'Restating Adj'!BG22+'Pro Forma Adj'!BG22</f>
        <v>0</v>
      </c>
    </row>
    <row r="23" spans="1:59" x14ac:dyDescent="0.2">
      <c r="A23" s="14" t="s">
        <v>56</v>
      </c>
      <c r="B23" s="29">
        <f t="shared" si="10"/>
        <v>-16375728.134629149</v>
      </c>
      <c r="C23" s="30">
        <f>'Restating Adj'!C23+'Pro Forma Adj'!C23</f>
        <v>0</v>
      </c>
      <c r="D23" s="79">
        <f>'Restating Adj'!D23+'Pro Forma Adj'!D23</f>
        <v>0</v>
      </c>
      <c r="E23" s="79">
        <f>'Restating Adj'!E23+'Pro Forma Adj'!E23</f>
        <v>0</v>
      </c>
      <c r="F23" s="80">
        <f>'Restating Adj'!F23+'Pro Forma Adj'!F23</f>
        <v>0</v>
      </c>
      <c r="G23" s="275">
        <f>'Restating Adj'!G23+'Pro Forma Adj'!G23</f>
        <v>0</v>
      </c>
      <c r="H23" s="30">
        <f>'Restating Adj'!H23+'Pro Forma Adj'!H23</f>
        <v>14768.667236369889</v>
      </c>
      <c r="I23" s="79">
        <f>'Restating Adj'!I23+'Pro Forma Adj'!I23</f>
        <v>105569.91512407501</v>
      </c>
      <c r="J23" s="79">
        <f>'Restating Adj'!J23+'Pro Forma Adj'!J23</f>
        <v>-332203.66081165004</v>
      </c>
      <c r="K23" s="79">
        <f>'Restating Adj'!K23+'Pro Forma Adj'!K23</f>
        <v>0</v>
      </c>
      <c r="L23" s="79">
        <f>'Restating Adj'!L23+'Pro Forma Adj'!L23</f>
        <v>0</v>
      </c>
      <c r="M23" s="80">
        <f>'Restating Adj'!M23+'Pro Forma Adj'!M23</f>
        <v>0</v>
      </c>
      <c r="N23" s="30">
        <f>'Restating Adj'!N23+'Pro Forma Adj'!N23</f>
        <v>0</v>
      </c>
      <c r="O23" s="79">
        <f>'Restating Adj'!O23+'Pro Forma Adj'!O23</f>
        <v>0</v>
      </c>
      <c r="P23" s="79">
        <f>'Restating Adj'!P23+'Pro Forma Adj'!P23</f>
        <v>0</v>
      </c>
      <c r="Q23" s="79">
        <f>'Restating Adj'!Q23+'Pro Forma Adj'!Q23</f>
        <v>0</v>
      </c>
      <c r="R23" s="79">
        <f>'Restating Adj'!R23+'Pro Forma Adj'!R23</f>
        <v>0</v>
      </c>
      <c r="S23" s="80">
        <f>'Restating Adj'!S23+'Pro Forma Adj'!S23</f>
        <v>0</v>
      </c>
      <c r="T23" s="30">
        <f>'Restating Adj'!T23+'Pro Forma Adj'!T23</f>
        <v>4.6566128730773926E-10</v>
      </c>
      <c r="U23" s="79">
        <f>'Restating Adj'!U23+'Pro Forma Adj'!U23</f>
        <v>-16017299.646470467</v>
      </c>
      <c r="V23" s="79">
        <f>'Restating Adj'!V23+'Pro Forma Adj'!V23</f>
        <v>0</v>
      </c>
      <c r="W23" s="79">
        <f>'Restating Adj'!W23+'Pro Forma Adj'!W23</f>
        <v>0</v>
      </c>
      <c r="X23" s="80">
        <f>'Restating Adj'!X23+'Pro Forma Adj'!X23</f>
        <v>0</v>
      </c>
      <c r="Y23" s="275">
        <f>'Restating Adj'!Y23+'Pro Forma Adj'!Y23</f>
        <v>0</v>
      </c>
      <c r="Z23" s="30">
        <f>'Restating Adj'!Z23+'Pro Forma Adj'!Z23</f>
        <v>0</v>
      </c>
      <c r="AA23" s="79">
        <f>'Restating Adj'!AA23+'Pro Forma Adj'!AA23</f>
        <v>0</v>
      </c>
      <c r="AB23" s="79">
        <f>'Restating Adj'!AB23+'Pro Forma Adj'!AB23</f>
        <v>0</v>
      </c>
      <c r="AC23" s="80">
        <f>'Restating Adj'!AC23+'Pro Forma Adj'!AC23</f>
        <v>9961.9123770073802</v>
      </c>
      <c r="AD23" s="30">
        <f>'Restating Adj'!AD23+'Pro Forma Adj'!AD23</f>
        <v>0</v>
      </c>
      <c r="AE23" s="80">
        <f>'Restating Adj'!AE23+'Pro Forma Adj'!AE23</f>
        <v>0</v>
      </c>
      <c r="AF23" s="30">
        <f>'Restating Adj'!AF23+'Pro Forma Adj'!AF23</f>
        <v>0</v>
      </c>
      <c r="AG23" s="79">
        <f>'Restating Adj'!AG23+'Pro Forma Adj'!AG23</f>
        <v>0</v>
      </c>
      <c r="AH23" s="79">
        <f>'Restating Adj'!AH23+'Pro Forma Adj'!AH23</f>
        <v>0</v>
      </c>
      <c r="AI23" s="79">
        <f>'Restating Adj'!AI23+'Pro Forma Adj'!AI23</f>
        <v>0</v>
      </c>
      <c r="AJ23" s="79">
        <f>'Restating Adj'!AJ23+'Pro Forma Adj'!AJ23</f>
        <v>0</v>
      </c>
      <c r="AK23" s="80">
        <f>'Restating Adj'!AK23+'Pro Forma Adj'!AK23</f>
        <v>0</v>
      </c>
      <c r="AL23" s="30">
        <f>'Restating Adj'!AL23+'Pro Forma Adj'!AL23</f>
        <v>0</v>
      </c>
      <c r="AM23" s="79">
        <f>'Restating Adj'!AM23+'Pro Forma Adj'!AM23</f>
        <v>0</v>
      </c>
      <c r="AN23" s="79">
        <f>'Restating Adj'!AN23+'Pro Forma Adj'!AN23</f>
        <v>0</v>
      </c>
      <c r="AO23" s="80">
        <f>'Restating Adj'!AO23+'Pro Forma Adj'!AO23</f>
        <v>0</v>
      </c>
      <c r="AP23" s="30">
        <f>'Restating Adj'!AP23+'Pro Forma Adj'!AP23</f>
        <v>0</v>
      </c>
      <c r="AQ23" s="80">
        <f>'Restating Adj'!AQ23+'Pro Forma Adj'!AQ23</f>
        <v>0</v>
      </c>
      <c r="AR23" s="30">
        <f>'Restating Adj'!AR23+'Pro Forma Adj'!AR23</f>
        <v>0</v>
      </c>
      <c r="AS23" s="79">
        <f>'Restating Adj'!AS23+'Pro Forma Adj'!AS23</f>
        <v>0</v>
      </c>
      <c r="AT23" s="79">
        <f>'Restating Adj'!AT23+'Pro Forma Adj'!AT23</f>
        <v>0</v>
      </c>
      <c r="AU23" s="79">
        <f>'Restating Adj'!AU23+'Pro Forma Adj'!AU23</f>
        <v>0</v>
      </c>
      <c r="AV23" s="79">
        <f>'Restating Adj'!AV23+'Pro Forma Adj'!AV23</f>
        <v>0</v>
      </c>
      <c r="AW23" s="80">
        <f>'Restating Adj'!AW23+'Pro Forma Adj'!AW23</f>
        <v>0</v>
      </c>
      <c r="AX23" s="30">
        <f>'Restating Adj'!AX23+'Pro Forma Adj'!AX23</f>
        <v>0</v>
      </c>
      <c r="AY23" s="79">
        <f>'Restating Adj'!AY23+'Pro Forma Adj'!AY23</f>
        <v>0</v>
      </c>
      <c r="AZ23" s="79">
        <f>'Restating Adj'!AZ23+'Pro Forma Adj'!AZ23</f>
        <v>0</v>
      </c>
      <c r="BA23" s="79">
        <f>'Restating Adj'!BA23+'Pro Forma Adj'!BA23</f>
        <v>0</v>
      </c>
      <c r="BB23" s="79">
        <f>'Restating Adj'!BB23+'Pro Forma Adj'!BB23</f>
        <v>0</v>
      </c>
      <c r="BC23" s="80">
        <f>'Restating Adj'!BC23+'Pro Forma Adj'!BC23</f>
        <v>0</v>
      </c>
      <c r="BD23" s="30">
        <f>'Restating Adj'!BD23+'Pro Forma Adj'!BD23</f>
        <v>-246844.49038857035</v>
      </c>
      <c r="BE23" s="79">
        <f>'Restating Adj'!BE23+'Pro Forma Adj'!BE23</f>
        <v>0</v>
      </c>
      <c r="BF23" s="79">
        <f>'Restating Adj'!BF23+'Pro Forma Adj'!BF23</f>
        <v>0</v>
      </c>
      <c r="BG23" s="80">
        <f>'Restating Adj'!BG23+'Pro Forma Adj'!BG23</f>
        <v>90319.16830408643</v>
      </c>
    </row>
    <row r="24" spans="1:59" x14ac:dyDescent="0.2">
      <c r="A24" s="14" t="s">
        <v>57</v>
      </c>
      <c r="B24" s="29">
        <f t="shared" si="10"/>
        <v>613172.00080135209</v>
      </c>
      <c r="C24" s="30">
        <f>'Restating Adj'!C24+'Pro Forma Adj'!C24</f>
        <v>0</v>
      </c>
      <c r="D24" s="79">
        <f>'Restating Adj'!D24+'Pro Forma Adj'!D24</f>
        <v>0</v>
      </c>
      <c r="E24" s="79">
        <f>'Restating Adj'!E24+'Pro Forma Adj'!E24</f>
        <v>0</v>
      </c>
      <c r="F24" s="80">
        <f>'Restating Adj'!F24+'Pro Forma Adj'!F24</f>
        <v>0</v>
      </c>
      <c r="G24" s="275">
        <f>'Restating Adj'!G24+'Pro Forma Adj'!G24</f>
        <v>0</v>
      </c>
      <c r="H24" s="30">
        <f>'Restating Adj'!H24+'Pro Forma Adj'!H24</f>
        <v>50265.287508637768</v>
      </c>
      <c r="I24" s="79">
        <f>'Restating Adj'!I24+'Pro Forma Adj'!I24</f>
        <v>359308.12517097819</v>
      </c>
      <c r="J24" s="79">
        <f>'Restating Adj'!J24+'Pro Forma Adj'!J24</f>
        <v>169938.45711545565</v>
      </c>
      <c r="K24" s="79">
        <f>'Restating Adj'!K24+'Pro Forma Adj'!K24</f>
        <v>0</v>
      </c>
      <c r="L24" s="79">
        <f>'Restating Adj'!L24+'Pro Forma Adj'!L24</f>
        <v>0</v>
      </c>
      <c r="M24" s="80">
        <f>'Restating Adj'!M24+'Pro Forma Adj'!M24</f>
        <v>0</v>
      </c>
      <c r="N24" s="30">
        <f>'Restating Adj'!N24+'Pro Forma Adj'!N24</f>
        <v>-245.32449298058287</v>
      </c>
      <c r="O24" s="79">
        <f>'Restating Adj'!O24+'Pro Forma Adj'!O24</f>
        <v>0</v>
      </c>
      <c r="P24" s="79">
        <f>'Restating Adj'!P24+'Pro Forma Adj'!P24</f>
        <v>0</v>
      </c>
      <c r="Q24" s="79">
        <f>'Restating Adj'!Q24+'Pro Forma Adj'!Q24</f>
        <v>0</v>
      </c>
      <c r="R24" s="79">
        <f>'Restating Adj'!R24+'Pro Forma Adj'!R24</f>
        <v>0</v>
      </c>
      <c r="S24" s="80">
        <f>'Restating Adj'!S24+'Pro Forma Adj'!S24</f>
        <v>0</v>
      </c>
      <c r="T24" s="30">
        <f>'Restating Adj'!T24+'Pro Forma Adj'!T24</f>
        <v>0</v>
      </c>
      <c r="U24" s="79">
        <f>'Restating Adj'!U24+'Pro Forma Adj'!U24</f>
        <v>0</v>
      </c>
      <c r="V24" s="79">
        <f>'Restating Adj'!V24+'Pro Forma Adj'!V24</f>
        <v>0</v>
      </c>
      <c r="W24" s="79">
        <f>'Restating Adj'!W24+'Pro Forma Adj'!W24</f>
        <v>0</v>
      </c>
      <c r="X24" s="80">
        <f>'Restating Adj'!X24+'Pro Forma Adj'!X24</f>
        <v>0</v>
      </c>
      <c r="Y24" s="275">
        <f>'Restating Adj'!Y24+'Pro Forma Adj'!Y24</f>
        <v>0</v>
      </c>
      <c r="Z24" s="30">
        <f>'Restating Adj'!Z24+'Pro Forma Adj'!Z24</f>
        <v>0</v>
      </c>
      <c r="AA24" s="79">
        <f>'Restating Adj'!AA24+'Pro Forma Adj'!AA24</f>
        <v>0</v>
      </c>
      <c r="AB24" s="79">
        <f>'Restating Adj'!AB24+'Pro Forma Adj'!AB24</f>
        <v>0</v>
      </c>
      <c r="AC24" s="80">
        <f>'Restating Adj'!AC24+'Pro Forma Adj'!AC24</f>
        <v>33905.455499260992</v>
      </c>
      <c r="AD24" s="30">
        <f>'Restating Adj'!AD24+'Pro Forma Adj'!AD24</f>
        <v>0</v>
      </c>
      <c r="AE24" s="80">
        <f>'Restating Adj'!AE24+'Pro Forma Adj'!AE24</f>
        <v>0</v>
      </c>
      <c r="AF24" s="30">
        <f>'Restating Adj'!AF24+'Pro Forma Adj'!AF24</f>
        <v>0</v>
      </c>
      <c r="AG24" s="79">
        <f>'Restating Adj'!AG24+'Pro Forma Adj'!AG24</f>
        <v>0</v>
      </c>
      <c r="AH24" s="79">
        <f>'Restating Adj'!AH24+'Pro Forma Adj'!AH24</f>
        <v>0</v>
      </c>
      <c r="AI24" s="79">
        <f>'Restating Adj'!AI24+'Pro Forma Adj'!AI24</f>
        <v>0</v>
      </c>
      <c r="AJ24" s="79">
        <f>'Restating Adj'!AJ24+'Pro Forma Adj'!AJ24</f>
        <v>0</v>
      </c>
      <c r="AK24" s="80">
        <f>'Restating Adj'!AK24+'Pro Forma Adj'!AK24</f>
        <v>0</v>
      </c>
      <c r="AL24" s="30">
        <f>'Restating Adj'!AL24+'Pro Forma Adj'!AL24</f>
        <v>0</v>
      </c>
      <c r="AM24" s="79">
        <f>'Restating Adj'!AM24+'Pro Forma Adj'!AM24</f>
        <v>0</v>
      </c>
      <c r="AN24" s="79">
        <f>'Restating Adj'!AN24+'Pro Forma Adj'!AN24</f>
        <v>0</v>
      </c>
      <c r="AO24" s="80">
        <f>'Restating Adj'!AO24+'Pro Forma Adj'!AO24</f>
        <v>0</v>
      </c>
      <c r="AP24" s="30">
        <f>'Restating Adj'!AP24+'Pro Forma Adj'!AP24</f>
        <v>0</v>
      </c>
      <c r="AQ24" s="80">
        <f>'Restating Adj'!AQ24+'Pro Forma Adj'!AQ24</f>
        <v>0</v>
      </c>
      <c r="AR24" s="30">
        <f>'Restating Adj'!AR24+'Pro Forma Adj'!AR24</f>
        <v>0</v>
      </c>
      <c r="AS24" s="79">
        <f>'Restating Adj'!AS24+'Pro Forma Adj'!AS24</f>
        <v>0</v>
      </c>
      <c r="AT24" s="79">
        <f>'Restating Adj'!AT24+'Pro Forma Adj'!AT24</f>
        <v>0</v>
      </c>
      <c r="AU24" s="79">
        <f>'Restating Adj'!AU24+'Pro Forma Adj'!AU24</f>
        <v>0</v>
      </c>
      <c r="AV24" s="79">
        <f>'Restating Adj'!AV24+'Pro Forma Adj'!AV24</f>
        <v>0</v>
      </c>
      <c r="AW24" s="80">
        <f>'Restating Adj'!AW24+'Pro Forma Adj'!AW24</f>
        <v>0</v>
      </c>
      <c r="AX24" s="30">
        <f>'Restating Adj'!AX24+'Pro Forma Adj'!AX24</f>
        <v>0</v>
      </c>
      <c r="AY24" s="79">
        <f>'Restating Adj'!AY24+'Pro Forma Adj'!AY24</f>
        <v>0</v>
      </c>
      <c r="AZ24" s="79">
        <f>'Restating Adj'!AZ24+'Pro Forma Adj'!AZ24</f>
        <v>0</v>
      </c>
      <c r="BA24" s="79">
        <f>'Restating Adj'!BA24+'Pro Forma Adj'!BA24</f>
        <v>0</v>
      </c>
      <c r="BB24" s="79">
        <f>'Restating Adj'!BB24+'Pro Forma Adj'!BB24</f>
        <v>0</v>
      </c>
      <c r="BC24" s="80">
        <f>'Restating Adj'!BC24+'Pro Forma Adj'!BC24</f>
        <v>0</v>
      </c>
      <c r="BD24" s="30">
        <f>'Restating Adj'!BD24+'Pro Forma Adj'!BD24</f>
        <v>0</v>
      </c>
      <c r="BE24" s="79">
        <f>'Restating Adj'!BE24+'Pro Forma Adj'!BE24</f>
        <v>0</v>
      </c>
      <c r="BF24" s="79">
        <f>'Restating Adj'!BF24+'Pro Forma Adj'!BF24</f>
        <v>0</v>
      </c>
      <c r="BG24" s="80">
        <f>'Restating Adj'!BG24+'Pro Forma Adj'!BG24</f>
        <v>0</v>
      </c>
    </row>
    <row r="25" spans="1:59" x14ac:dyDescent="0.2">
      <c r="A25" s="14" t="s">
        <v>58</v>
      </c>
      <c r="B25" s="29">
        <f t="shared" si="10"/>
        <v>1121088.2974481627</v>
      </c>
      <c r="C25" s="30">
        <f>'Restating Adj'!C25+'Pro Forma Adj'!C25</f>
        <v>0</v>
      </c>
      <c r="D25" s="79">
        <f>'Restating Adj'!D25+'Pro Forma Adj'!D25</f>
        <v>0</v>
      </c>
      <c r="E25" s="79">
        <f>'Restating Adj'!E25+'Pro Forma Adj'!E25</f>
        <v>0</v>
      </c>
      <c r="F25" s="80">
        <f>'Restating Adj'!F25+'Pro Forma Adj'!F25</f>
        <v>0</v>
      </c>
      <c r="G25" s="275">
        <f>'Restating Adj'!G25+'Pro Forma Adj'!G25</f>
        <v>-304.45544521771291</v>
      </c>
      <c r="H25" s="30">
        <f>'Restating Adj'!H25+'Pro Forma Adj'!H25</f>
        <v>18266.569123739817</v>
      </c>
      <c r="I25" s="79">
        <f>'Restating Adj'!I25+'Pro Forma Adj'!I25</f>
        <v>130573.7424465973</v>
      </c>
      <c r="J25" s="79">
        <f>'Restating Adj'!J25+'Pro Forma Adj'!J25</f>
        <v>0</v>
      </c>
      <c r="K25" s="79">
        <f>'Restating Adj'!K25+'Pro Forma Adj'!K25</f>
        <v>0</v>
      </c>
      <c r="L25" s="79">
        <f>'Restating Adj'!L25+'Pro Forma Adj'!L25</f>
        <v>0</v>
      </c>
      <c r="M25" s="80">
        <f>'Restating Adj'!M25+'Pro Forma Adj'!M25</f>
        <v>62258.880074109882</v>
      </c>
      <c r="N25" s="30">
        <f>'Restating Adj'!N25+'Pro Forma Adj'!N25</f>
        <v>20238.488338284809</v>
      </c>
      <c r="O25" s="79">
        <f>'Restating Adj'!O25+'Pro Forma Adj'!O25</f>
        <v>877733.72</v>
      </c>
      <c r="P25" s="79">
        <f>'Restating Adj'!P25+'Pro Forma Adj'!P25</f>
        <v>0</v>
      </c>
      <c r="Q25" s="79">
        <f>'Restating Adj'!Q25+'Pro Forma Adj'!Q25</f>
        <v>0</v>
      </c>
      <c r="R25" s="79">
        <f>'Restating Adj'!R25+'Pro Forma Adj'!R25</f>
        <v>0</v>
      </c>
      <c r="S25" s="80">
        <f>'Restating Adj'!S25+'Pro Forma Adj'!S25</f>
        <v>0</v>
      </c>
      <c r="T25" s="30">
        <f>'Restating Adj'!T25+'Pro Forma Adj'!T25</f>
        <v>0</v>
      </c>
      <c r="U25" s="79">
        <f>'Restating Adj'!U25+'Pro Forma Adj'!U25</f>
        <v>0</v>
      </c>
      <c r="V25" s="79">
        <f>'Restating Adj'!V25+'Pro Forma Adj'!V25</f>
        <v>0</v>
      </c>
      <c r="W25" s="79">
        <f>'Restating Adj'!W25+'Pro Forma Adj'!W25</f>
        <v>0</v>
      </c>
      <c r="X25" s="80">
        <f>'Restating Adj'!X25+'Pro Forma Adj'!X25</f>
        <v>0</v>
      </c>
      <c r="Y25" s="275">
        <f>'Restating Adj'!Y25+'Pro Forma Adj'!Y25</f>
        <v>0</v>
      </c>
      <c r="Z25" s="30">
        <f>'Restating Adj'!Z25+'Pro Forma Adj'!Z25</f>
        <v>0</v>
      </c>
      <c r="AA25" s="79">
        <f>'Restating Adj'!AA25+'Pro Forma Adj'!AA25</f>
        <v>0</v>
      </c>
      <c r="AB25" s="79">
        <f>'Restating Adj'!AB25+'Pro Forma Adj'!AB25</f>
        <v>0</v>
      </c>
      <c r="AC25" s="80">
        <f>'Restating Adj'!AC25+'Pro Forma Adj'!AC25</f>
        <v>12321.352910648453</v>
      </c>
      <c r="AD25" s="30">
        <f>'Restating Adj'!AD25+'Pro Forma Adj'!AD25</f>
        <v>0</v>
      </c>
      <c r="AE25" s="80">
        <f>'Restating Adj'!AE25+'Pro Forma Adj'!AE25</f>
        <v>0</v>
      </c>
      <c r="AF25" s="30">
        <f>'Restating Adj'!AF25+'Pro Forma Adj'!AF25</f>
        <v>0</v>
      </c>
      <c r="AG25" s="79">
        <f>'Restating Adj'!AG25+'Pro Forma Adj'!AG25</f>
        <v>0</v>
      </c>
      <c r="AH25" s="79">
        <f>'Restating Adj'!AH25+'Pro Forma Adj'!AH25</f>
        <v>0</v>
      </c>
      <c r="AI25" s="79">
        <f>'Restating Adj'!AI25+'Pro Forma Adj'!AI25</f>
        <v>0</v>
      </c>
      <c r="AJ25" s="79">
        <f>'Restating Adj'!AJ25+'Pro Forma Adj'!AJ25</f>
        <v>0</v>
      </c>
      <c r="AK25" s="80">
        <f>'Restating Adj'!AK25+'Pro Forma Adj'!AK25</f>
        <v>0</v>
      </c>
      <c r="AL25" s="30">
        <f>'Restating Adj'!AL25+'Pro Forma Adj'!AL25</f>
        <v>0</v>
      </c>
      <c r="AM25" s="79">
        <f>'Restating Adj'!AM25+'Pro Forma Adj'!AM25</f>
        <v>0</v>
      </c>
      <c r="AN25" s="79">
        <f>'Restating Adj'!AN25+'Pro Forma Adj'!AN25</f>
        <v>0</v>
      </c>
      <c r="AO25" s="80">
        <f>'Restating Adj'!AO25+'Pro Forma Adj'!AO25</f>
        <v>0</v>
      </c>
      <c r="AP25" s="30">
        <f>'Restating Adj'!AP25+'Pro Forma Adj'!AP25</f>
        <v>0</v>
      </c>
      <c r="AQ25" s="80">
        <f>'Restating Adj'!AQ25+'Pro Forma Adj'!AQ25</f>
        <v>0</v>
      </c>
      <c r="AR25" s="30">
        <f>'Restating Adj'!AR25+'Pro Forma Adj'!AR25</f>
        <v>0</v>
      </c>
      <c r="AS25" s="79">
        <f>'Restating Adj'!AS25+'Pro Forma Adj'!AS25</f>
        <v>0</v>
      </c>
      <c r="AT25" s="79">
        <f>'Restating Adj'!AT25+'Pro Forma Adj'!AT25</f>
        <v>0</v>
      </c>
      <c r="AU25" s="79">
        <f>'Restating Adj'!AU25+'Pro Forma Adj'!AU25</f>
        <v>0</v>
      </c>
      <c r="AV25" s="79">
        <f>'Restating Adj'!AV25+'Pro Forma Adj'!AV25</f>
        <v>0</v>
      </c>
      <c r="AW25" s="80">
        <f>'Restating Adj'!AW25+'Pro Forma Adj'!AW25</f>
        <v>0</v>
      </c>
      <c r="AX25" s="30">
        <f>'Restating Adj'!AX25+'Pro Forma Adj'!AX25</f>
        <v>0</v>
      </c>
      <c r="AY25" s="79">
        <f>'Restating Adj'!AY25+'Pro Forma Adj'!AY25</f>
        <v>0</v>
      </c>
      <c r="AZ25" s="79">
        <f>'Restating Adj'!AZ25+'Pro Forma Adj'!AZ25</f>
        <v>0</v>
      </c>
      <c r="BA25" s="79">
        <f>'Restating Adj'!BA25+'Pro Forma Adj'!BA25</f>
        <v>0</v>
      </c>
      <c r="BB25" s="79">
        <f>'Restating Adj'!BB25+'Pro Forma Adj'!BB25</f>
        <v>0</v>
      </c>
      <c r="BC25" s="80">
        <f>'Restating Adj'!BC25+'Pro Forma Adj'!BC25</f>
        <v>0</v>
      </c>
      <c r="BD25" s="30">
        <f>'Restating Adj'!BD25+'Pro Forma Adj'!BD25</f>
        <v>0</v>
      </c>
      <c r="BE25" s="79">
        <f>'Restating Adj'!BE25+'Pro Forma Adj'!BE25</f>
        <v>0</v>
      </c>
      <c r="BF25" s="79">
        <f>'Restating Adj'!BF25+'Pro Forma Adj'!BF25</f>
        <v>0</v>
      </c>
      <c r="BG25" s="80">
        <f>'Restating Adj'!BG25+'Pro Forma Adj'!BG25</f>
        <v>0</v>
      </c>
    </row>
    <row r="26" spans="1:59" x14ac:dyDescent="0.2">
      <c r="A26" s="14" t="s">
        <v>59</v>
      </c>
      <c r="B26" s="29">
        <f t="shared" si="10"/>
        <v>34279.345589528573</v>
      </c>
      <c r="C26" s="30">
        <f>'Restating Adj'!C26+'Pro Forma Adj'!C26</f>
        <v>0</v>
      </c>
      <c r="D26" s="79">
        <f>'Restating Adj'!D26+'Pro Forma Adj'!D26</f>
        <v>0</v>
      </c>
      <c r="E26" s="79">
        <f>'Restating Adj'!E26+'Pro Forma Adj'!E26</f>
        <v>0</v>
      </c>
      <c r="F26" s="80">
        <f>'Restating Adj'!F26+'Pro Forma Adj'!F26</f>
        <v>0</v>
      </c>
      <c r="G26" s="275">
        <f>'Restating Adj'!G26+'Pro Forma Adj'!G26</f>
        <v>13145.606737896598</v>
      </c>
      <c r="H26" s="30">
        <f>'Restating Adj'!H26+'Pro Forma Adj'!H26</f>
        <v>3543.5012517468617</v>
      </c>
      <c r="I26" s="79">
        <f>'Restating Adj'!I26+'Pro Forma Adj'!I26</f>
        <v>25329.782329154819</v>
      </c>
      <c r="J26" s="79">
        <f>'Restating Adj'!J26+'Pro Forma Adj'!J26</f>
        <v>0</v>
      </c>
      <c r="K26" s="79">
        <f>'Restating Adj'!K26+'Pro Forma Adj'!K26</f>
        <v>-10146.831049658042</v>
      </c>
      <c r="L26" s="79">
        <f>'Restating Adj'!L26+'Pro Forma Adj'!L26</f>
        <v>0</v>
      </c>
      <c r="M26" s="80">
        <f>'Restating Adj'!M26+'Pro Forma Adj'!M26</f>
        <v>0</v>
      </c>
      <c r="N26" s="30">
        <f>'Restating Adj'!N26+'Pro Forma Adj'!N26</f>
        <v>0</v>
      </c>
      <c r="O26" s="79">
        <f>'Restating Adj'!O26+'Pro Forma Adj'!O26</f>
        <v>0</v>
      </c>
      <c r="P26" s="79">
        <f>'Restating Adj'!P26+'Pro Forma Adj'!P26</f>
        <v>0</v>
      </c>
      <c r="Q26" s="79">
        <f>'Restating Adj'!Q26+'Pro Forma Adj'!Q26</f>
        <v>0</v>
      </c>
      <c r="R26" s="79">
        <f>'Restating Adj'!R26+'Pro Forma Adj'!R26</f>
        <v>0</v>
      </c>
      <c r="S26" s="80">
        <f>'Restating Adj'!S26+'Pro Forma Adj'!S26</f>
        <v>0</v>
      </c>
      <c r="T26" s="30">
        <f>'Restating Adj'!T26+'Pro Forma Adj'!T26</f>
        <v>0</v>
      </c>
      <c r="U26" s="79">
        <f>'Restating Adj'!U26+'Pro Forma Adj'!U26</f>
        <v>0</v>
      </c>
      <c r="V26" s="79">
        <f>'Restating Adj'!V26+'Pro Forma Adj'!V26</f>
        <v>0</v>
      </c>
      <c r="W26" s="79">
        <f>'Restating Adj'!W26+'Pro Forma Adj'!W26</f>
        <v>0</v>
      </c>
      <c r="X26" s="80">
        <f>'Restating Adj'!X26+'Pro Forma Adj'!X26</f>
        <v>0</v>
      </c>
      <c r="Y26" s="275">
        <f>'Restating Adj'!Y26+'Pro Forma Adj'!Y26</f>
        <v>0</v>
      </c>
      <c r="Z26" s="30">
        <f>'Restating Adj'!Z26+'Pro Forma Adj'!Z26</f>
        <v>0</v>
      </c>
      <c r="AA26" s="79">
        <f>'Restating Adj'!AA26+'Pro Forma Adj'!AA26</f>
        <v>0</v>
      </c>
      <c r="AB26" s="79">
        <f>'Restating Adj'!AB26+'Pro Forma Adj'!AB26</f>
        <v>0</v>
      </c>
      <c r="AC26" s="80">
        <f>'Restating Adj'!AC26+'Pro Forma Adj'!AC26</f>
        <v>2407.286320388333</v>
      </c>
      <c r="AD26" s="30">
        <f>'Restating Adj'!AD26+'Pro Forma Adj'!AD26</f>
        <v>0</v>
      </c>
      <c r="AE26" s="80">
        <f>'Restating Adj'!AE26+'Pro Forma Adj'!AE26</f>
        <v>0</v>
      </c>
      <c r="AF26" s="30">
        <f>'Restating Adj'!AF26+'Pro Forma Adj'!AF26</f>
        <v>0</v>
      </c>
      <c r="AG26" s="79">
        <f>'Restating Adj'!AG26+'Pro Forma Adj'!AG26</f>
        <v>0</v>
      </c>
      <c r="AH26" s="79">
        <f>'Restating Adj'!AH26+'Pro Forma Adj'!AH26</f>
        <v>0</v>
      </c>
      <c r="AI26" s="79">
        <f>'Restating Adj'!AI26+'Pro Forma Adj'!AI26</f>
        <v>0</v>
      </c>
      <c r="AJ26" s="79">
        <f>'Restating Adj'!AJ26+'Pro Forma Adj'!AJ26</f>
        <v>0</v>
      </c>
      <c r="AK26" s="80">
        <f>'Restating Adj'!AK26+'Pro Forma Adj'!AK26</f>
        <v>0</v>
      </c>
      <c r="AL26" s="30">
        <f>'Restating Adj'!AL26+'Pro Forma Adj'!AL26</f>
        <v>0</v>
      </c>
      <c r="AM26" s="79">
        <f>'Restating Adj'!AM26+'Pro Forma Adj'!AM26</f>
        <v>0</v>
      </c>
      <c r="AN26" s="79">
        <f>'Restating Adj'!AN26+'Pro Forma Adj'!AN26</f>
        <v>0</v>
      </c>
      <c r="AO26" s="80">
        <f>'Restating Adj'!AO26+'Pro Forma Adj'!AO26</f>
        <v>0</v>
      </c>
      <c r="AP26" s="30">
        <f>'Restating Adj'!AP26+'Pro Forma Adj'!AP26</f>
        <v>0</v>
      </c>
      <c r="AQ26" s="80">
        <f>'Restating Adj'!AQ26+'Pro Forma Adj'!AQ26</f>
        <v>0</v>
      </c>
      <c r="AR26" s="30">
        <f>'Restating Adj'!AR26+'Pro Forma Adj'!AR26</f>
        <v>0</v>
      </c>
      <c r="AS26" s="79">
        <f>'Restating Adj'!AS26+'Pro Forma Adj'!AS26</f>
        <v>0</v>
      </c>
      <c r="AT26" s="79">
        <f>'Restating Adj'!AT26+'Pro Forma Adj'!AT26</f>
        <v>0</v>
      </c>
      <c r="AU26" s="79">
        <f>'Restating Adj'!AU26+'Pro Forma Adj'!AU26</f>
        <v>0</v>
      </c>
      <c r="AV26" s="79">
        <f>'Restating Adj'!AV26+'Pro Forma Adj'!AV26</f>
        <v>0</v>
      </c>
      <c r="AW26" s="80">
        <f>'Restating Adj'!AW26+'Pro Forma Adj'!AW26</f>
        <v>0</v>
      </c>
      <c r="AX26" s="30">
        <f>'Restating Adj'!AX26+'Pro Forma Adj'!AX26</f>
        <v>0</v>
      </c>
      <c r="AY26" s="79">
        <f>'Restating Adj'!AY26+'Pro Forma Adj'!AY26</f>
        <v>0</v>
      </c>
      <c r="AZ26" s="79">
        <f>'Restating Adj'!AZ26+'Pro Forma Adj'!AZ26</f>
        <v>0</v>
      </c>
      <c r="BA26" s="79">
        <f>'Restating Adj'!BA26+'Pro Forma Adj'!BA26</f>
        <v>0</v>
      </c>
      <c r="BB26" s="79">
        <f>'Restating Adj'!BB26+'Pro Forma Adj'!BB26</f>
        <v>0</v>
      </c>
      <c r="BC26" s="80">
        <f>'Restating Adj'!BC26+'Pro Forma Adj'!BC26</f>
        <v>0</v>
      </c>
      <c r="BD26" s="30">
        <f>'Restating Adj'!BD26+'Pro Forma Adj'!BD26</f>
        <v>0</v>
      </c>
      <c r="BE26" s="79">
        <f>'Restating Adj'!BE26+'Pro Forma Adj'!BE26</f>
        <v>0</v>
      </c>
      <c r="BF26" s="79">
        <f>'Restating Adj'!BF26+'Pro Forma Adj'!BF26</f>
        <v>0</v>
      </c>
      <c r="BG26" s="80">
        <f>'Restating Adj'!BG26+'Pro Forma Adj'!BG26</f>
        <v>0</v>
      </c>
    </row>
    <row r="27" spans="1:59" x14ac:dyDescent="0.2">
      <c r="A27" s="14" t="s">
        <v>60</v>
      </c>
      <c r="B27" s="29">
        <f t="shared" si="10"/>
        <v>0</v>
      </c>
      <c r="C27" s="30">
        <f>'Restating Adj'!C27+'Pro Forma Adj'!C27</f>
        <v>0</v>
      </c>
      <c r="D27" s="79">
        <f>'Restating Adj'!D27+'Pro Forma Adj'!D27</f>
        <v>0</v>
      </c>
      <c r="E27" s="79">
        <f>'Restating Adj'!E27+'Pro Forma Adj'!E27</f>
        <v>0</v>
      </c>
      <c r="F27" s="80">
        <f>'Restating Adj'!F27+'Pro Forma Adj'!F27</f>
        <v>0</v>
      </c>
      <c r="G27" s="275">
        <f>'Restating Adj'!G27+'Pro Forma Adj'!G27</f>
        <v>0</v>
      </c>
      <c r="H27" s="30">
        <f>'Restating Adj'!H27+'Pro Forma Adj'!H27</f>
        <v>0</v>
      </c>
      <c r="I27" s="79">
        <f>'Restating Adj'!I27+'Pro Forma Adj'!I27</f>
        <v>0</v>
      </c>
      <c r="J27" s="79">
        <f>'Restating Adj'!J27+'Pro Forma Adj'!J27</f>
        <v>0</v>
      </c>
      <c r="K27" s="79">
        <f>'Restating Adj'!K27+'Pro Forma Adj'!K27</f>
        <v>0</v>
      </c>
      <c r="L27" s="79">
        <f>'Restating Adj'!L27+'Pro Forma Adj'!L27</f>
        <v>0</v>
      </c>
      <c r="M27" s="80">
        <f>'Restating Adj'!M27+'Pro Forma Adj'!M27</f>
        <v>0</v>
      </c>
      <c r="N27" s="30">
        <f>'Restating Adj'!N27+'Pro Forma Adj'!N27</f>
        <v>0</v>
      </c>
      <c r="O27" s="79">
        <f>'Restating Adj'!O27+'Pro Forma Adj'!O27</f>
        <v>0</v>
      </c>
      <c r="P27" s="79">
        <f>'Restating Adj'!P27+'Pro Forma Adj'!P27</f>
        <v>0</v>
      </c>
      <c r="Q27" s="79">
        <f>'Restating Adj'!Q27+'Pro Forma Adj'!Q27</f>
        <v>0</v>
      </c>
      <c r="R27" s="79">
        <f>'Restating Adj'!R27+'Pro Forma Adj'!R27</f>
        <v>0</v>
      </c>
      <c r="S27" s="80">
        <f>'Restating Adj'!S27+'Pro Forma Adj'!S27</f>
        <v>0</v>
      </c>
      <c r="T27" s="30">
        <f>'Restating Adj'!T27+'Pro Forma Adj'!T27</f>
        <v>0</v>
      </c>
      <c r="U27" s="79">
        <f>'Restating Adj'!U27+'Pro Forma Adj'!U27</f>
        <v>0</v>
      </c>
      <c r="V27" s="79">
        <f>'Restating Adj'!V27+'Pro Forma Adj'!V27</f>
        <v>0</v>
      </c>
      <c r="W27" s="79">
        <f>'Restating Adj'!W27+'Pro Forma Adj'!W27</f>
        <v>0</v>
      </c>
      <c r="X27" s="80">
        <f>'Restating Adj'!X27+'Pro Forma Adj'!X27</f>
        <v>0</v>
      </c>
      <c r="Y27" s="275">
        <f>'Restating Adj'!Y27+'Pro Forma Adj'!Y27</f>
        <v>0</v>
      </c>
      <c r="Z27" s="30">
        <f>'Restating Adj'!Z27+'Pro Forma Adj'!Z27</f>
        <v>0</v>
      </c>
      <c r="AA27" s="79">
        <f>'Restating Adj'!AA27+'Pro Forma Adj'!AA27</f>
        <v>0</v>
      </c>
      <c r="AB27" s="79">
        <f>'Restating Adj'!AB27+'Pro Forma Adj'!AB27</f>
        <v>0</v>
      </c>
      <c r="AC27" s="80">
        <f>'Restating Adj'!AC27+'Pro Forma Adj'!AC27</f>
        <v>0</v>
      </c>
      <c r="AD27" s="30">
        <f>'Restating Adj'!AD27+'Pro Forma Adj'!AD27</f>
        <v>0</v>
      </c>
      <c r="AE27" s="80">
        <f>'Restating Adj'!AE27+'Pro Forma Adj'!AE27</f>
        <v>0</v>
      </c>
      <c r="AF27" s="30">
        <f>'Restating Adj'!AF27+'Pro Forma Adj'!AF27</f>
        <v>0</v>
      </c>
      <c r="AG27" s="79">
        <f>'Restating Adj'!AG27+'Pro Forma Adj'!AG27</f>
        <v>0</v>
      </c>
      <c r="AH27" s="79">
        <f>'Restating Adj'!AH27+'Pro Forma Adj'!AH27</f>
        <v>0</v>
      </c>
      <c r="AI27" s="79">
        <f>'Restating Adj'!AI27+'Pro Forma Adj'!AI27</f>
        <v>0</v>
      </c>
      <c r="AJ27" s="79">
        <f>'Restating Adj'!AJ27+'Pro Forma Adj'!AJ27</f>
        <v>0</v>
      </c>
      <c r="AK27" s="80">
        <f>'Restating Adj'!AK27+'Pro Forma Adj'!AK27</f>
        <v>0</v>
      </c>
      <c r="AL27" s="30">
        <f>'Restating Adj'!AL27+'Pro Forma Adj'!AL27</f>
        <v>0</v>
      </c>
      <c r="AM27" s="79">
        <f>'Restating Adj'!AM27+'Pro Forma Adj'!AM27</f>
        <v>0</v>
      </c>
      <c r="AN27" s="79">
        <f>'Restating Adj'!AN27+'Pro Forma Adj'!AN27</f>
        <v>0</v>
      </c>
      <c r="AO27" s="80">
        <f>'Restating Adj'!AO27+'Pro Forma Adj'!AO27</f>
        <v>0</v>
      </c>
      <c r="AP27" s="30">
        <f>'Restating Adj'!AP27+'Pro Forma Adj'!AP27</f>
        <v>0</v>
      </c>
      <c r="AQ27" s="80">
        <f>'Restating Adj'!AQ27+'Pro Forma Adj'!AQ27</f>
        <v>0</v>
      </c>
      <c r="AR27" s="30">
        <f>'Restating Adj'!AR27+'Pro Forma Adj'!AR27</f>
        <v>0</v>
      </c>
      <c r="AS27" s="79">
        <f>'Restating Adj'!AS27+'Pro Forma Adj'!AS27</f>
        <v>0</v>
      </c>
      <c r="AT27" s="79">
        <f>'Restating Adj'!AT27+'Pro Forma Adj'!AT27</f>
        <v>0</v>
      </c>
      <c r="AU27" s="79">
        <f>'Restating Adj'!AU27+'Pro Forma Adj'!AU27</f>
        <v>0</v>
      </c>
      <c r="AV27" s="79">
        <f>'Restating Adj'!AV27+'Pro Forma Adj'!AV27</f>
        <v>0</v>
      </c>
      <c r="AW27" s="80">
        <f>'Restating Adj'!AW27+'Pro Forma Adj'!AW27</f>
        <v>0</v>
      </c>
      <c r="AX27" s="30">
        <f>'Restating Adj'!AX27+'Pro Forma Adj'!AX27</f>
        <v>0</v>
      </c>
      <c r="AY27" s="79">
        <f>'Restating Adj'!AY27+'Pro Forma Adj'!AY27</f>
        <v>0</v>
      </c>
      <c r="AZ27" s="79">
        <f>'Restating Adj'!AZ27+'Pro Forma Adj'!AZ27</f>
        <v>0</v>
      </c>
      <c r="BA27" s="79">
        <f>'Restating Adj'!BA27+'Pro Forma Adj'!BA27</f>
        <v>0</v>
      </c>
      <c r="BB27" s="79">
        <f>'Restating Adj'!BB27+'Pro Forma Adj'!BB27</f>
        <v>0</v>
      </c>
      <c r="BC27" s="80">
        <f>'Restating Adj'!BC27+'Pro Forma Adj'!BC27</f>
        <v>0</v>
      </c>
      <c r="BD27" s="30">
        <f>'Restating Adj'!BD27+'Pro Forma Adj'!BD27</f>
        <v>0</v>
      </c>
      <c r="BE27" s="79">
        <f>'Restating Adj'!BE27+'Pro Forma Adj'!BE27</f>
        <v>0</v>
      </c>
      <c r="BF27" s="79">
        <f>'Restating Adj'!BF27+'Pro Forma Adj'!BF27</f>
        <v>0</v>
      </c>
      <c r="BG27" s="80">
        <f>'Restating Adj'!BG27+'Pro Forma Adj'!BG27</f>
        <v>0</v>
      </c>
    </row>
    <row r="28" spans="1:59" x14ac:dyDescent="0.2">
      <c r="A28" s="14" t="s">
        <v>61</v>
      </c>
      <c r="B28" s="29">
        <f t="shared" si="10"/>
        <v>374583.83687665954</v>
      </c>
      <c r="C28" s="32">
        <f>'Restating Adj'!C28+'Pro Forma Adj'!C28</f>
        <v>0</v>
      </c>
      <c r="D28" s="84">
        <f>'Restating Adj'!D28+'Pro Forma Adj'!D28</f>
        <v>0</v>
      </c>
      <c r="E28" s="84">
        <f>'Restating Adj'!E28+'Pro Forma Adj'!E28</f>
        <v>0</v>
      </c>
      <c r="F28" s="86">
        <f>'Restating Adj'!F28+'Pro Forma Adj'!F28</f>
        <v>0</v>
      </c>
      <c r="G28" s="276">
        <f>'Restating Adj'!G28+'Pro Forma Adj'!G28</f>
        <v>-3458.706204401773</v>
      </c>
      <c r="H28" s="32">
        <f>'Restating Adj'!H28+'Pro Forma Adj'!H28</f>
        <v>20868.075378978294</v>
      </c>
      <c r="I28" s="84">
        <f>'Restating Adj'!I28+'Pro Forma Adj'!I28</f>
        <v>149169.92246505793</v>
      </c>
      <c r="J28" s="84">
        <f>'Restating Adj'!J28+'Pro Forma Adj'!J28</f>
        <v>-423797.471567831</v>
      </c>
      <c r="K28" s="84">
        <f>'Restating Adj'!K28+'Pro Forma Adj'!K28</f>
        <v>-2853.9386865947185</v>
      </c>
      <c r="L28" s="84">
        <f>'Restating Adj'!L28+'Pro Forma Adj'!L28</f>
        <v>15875.448713248625</v>
      </c>
      <c r="M28" s="86">
        <f>'Restating Adj'!M28+'Pro Forma Adj'!M28</f>
        <v>0</v>
      </c>
      <c r="N28" s="32">
        <f>'Restating Adj'!N28+'Pro Forma Adj'!N28</f>
        <v>-78806.772445234805</v>
      </c>
      <c r="O28" s="84">
        <f>'Restating Adj'!O28+'Pro Forma Adj'!O28</f>
        <v>0</v>
      </c>
      <c r="P28" s="84">
        <f>'Restating Adj'!P28+'Pro Forma Adj'!P28</f>
        <v>0</v>
      </c>
      <c r="Q28" s="84">
        <f>'Restating Adj'!Q28+'Pro Forma Adj'!Q28</f>
        <v>438379.12901055615</v>
      </c>
      <c r="R28" s="84">
        <f>'Restating Adj'!R28+'Pro Forma Adj'!R28</f>
        <v>101625.68393873476</v>
      </c>
      <c r="S28" s="86">
        <f>'Restating Adj'!S28+'Pro Forma Adj'!S28</f>
        <v>147521.18755746336</v>
      </c>
      <c r="T28" s="32">
        <f>'Restating Adj'!T28+'Pro Forma Adj'!T28</f>
        <v>0</v>
      </c>
      <c r="U28" s="84">
        <f>'Restating Adj'!U28+'Pro Forma Adj'!U28</f>
        <v>0</v>
      </c>
      <c r="V28" s="84">
        <f>'Restating Adj'!V28+'Pro Forma Adj'!V28</f>
        <v>-4014.8687836292347</v>
      </c>
      <c r="W28" s="84">
        <f>'Restating Adj'!W28+'Pro Forma Adj'!W28</f>
        <v>0</v>
      </c>
      <c r="X28" s="86">
        <f>'Restating Adj'!X28+'Pro Forma Adj'!X28</f>
        <v>0</v>
      </c>
      <c r="Y28" s="276">
        <f>'Restating Adj'!Y28+'Pro Forma Adj'!Y28</f>
        <v>0</v>
      </c>
      <c r="Z28" s="32">
        <f>'Restating Adj'!Z28+'Pro Forma Adj'!Z28</f>
        <v>0</v>
      </c>
      <c r="AA28" s="84">
        <f>'Restating Adj'!AA28+'Pro Forma Adj'!AA28</f>
        <v>0</v>
      </c>
      <c r="AB28" s="84">
        <f>'Restating Adj'!AB28+'Pro Forma Adj'!AB28</f>
        <v>0</v>
      </c>
      <c r="AC28" s="86">
        <f>'Restating Adj'!AC28+'Pro Forma Adj'!AC28</f>
        <v>14076.147500311941</v>
      </c>
      <c r="AD28" s="32">
        <f>'Restating Adj'!AD28+'Pro Forma Adj'!AD28</f>
        <v>0</v>
      </c>
      <c r="AE28" s="86">
        <f>'Restating Adj'!AE28+'Pro Forma Adj'!AE28</f>
        <v>0</v>
      </c>
      <c r="AF28" s="32">
        <f>'Restating Adj'!AF28+'Pro Forma Adj'!AF28</f>
        <v>0</v>
      </c>
      <c r="AG28" s="84">
        <f>'Restating Adj'!AG28+'Pro Forma Adj'!AG28</f>
        <v>0</v>
      </c>
      <c r="AH28" s="84">
        <f>'Restating Adj'!AH28+'Pro Forma Adj'!AH28</f>
        <v>0</v>
      </c>
      <c r="AI28" s="84">
        <f>'Restating Adj'!AI28+'Pro Forma Adj'!AI28</f>
        <v>0</v>
      </c>
      <c r="AJ28" s="84">
        <f>'Restating Adj'!AJ28+'Pro Forma Adj'!AJ28</f>
        <v>0</v>
      </c>
      <c r="AK28" s="86">
        <f>'Restating Adj'!AK28+'Pro Forma Adj'!AK28</f>
        <v>0</v>
      </c>
      <c r="AL28" s="32">
        <f>'Restating Adj'!AL28+'Pro Forma Adj'!AL28</f>
        <v>0</v>
      </c>
      <c r="AM28" s="84">
        <f>'Restating Adj'!AM28+'Pro Forma Adj'!AM28</f>
        <v>0</v>
      </c>
      <c r="AN28" s="84">
        <f>'Restating Adj'!AN28+'Pro Forma Adj'!AN28</f>
        <v>0</v>
      </c>
      <c r="AO28" s="86">
        <f>'Restating Adj'!AO28+'Pro Forma Adj'!AO28</f>
        <v>0</v>
      </c>
      <c r="AP28" s="32">
        <f>'Restating Adj'!AP28+'Pro Forma Adj'!AP28</f>
        <v>0</v>
      </c>
      <c r="AQ28" s="86">
        <f>'Restating Adj'!AQ28+'Pro Forma Adj'!AQ28</f>
        <v>0</v>
      </c>
      <c r="AR28" s="32">
        <f>'Restating Adj'!AR28+'Pro Forma Adj'!AR28</f>
        <v>0</v>
      </c>
      <c r="AS28" s="84">
        <f>'Restating Adj'!AS28+'Pro Forma Adj'!AS28</f>
        <v>0</v>
      </c>
      <c r="AT28" s="84">
        <f>'Restating Adj'!AT28+'Pro Forma Adj'!AT28</f>
        <v>0</v>
      </c>
      <c r="AU28" s="84">
        <f>'Restating Adj'!AU28+'Pro Forma Adj'!AU28</f>
        <v>0</v>
      </c>
      <c r="AV28" s="84">
        <f>'Restating Adj'!AV28+'Pro Forma Adj'!AV28</f>
        <v>0</v>
      </c>
      <c r="AW28" s="86">
        <f>'Restating Adj'!AW28+'Pro Forma Adj'!AW28</f>
        <v>0</v>
      </c>
      <c r="AX28" s="32">
        <f>'Restating Adj'!AX28+'Pro Forma Adj'!AX28</f>
        <v>0</v>
      </c>
      <c r="AY28" s="84">
        <f>'Restating Adj'!AY28+'Pro Forma Adj'!AY28</f>
        <v>0</v>
      </c>
      <c r="AZ28" s="84">
        <f>'Restating Adj'!AZ28+'Pro Forma Adj'!AZ28</f>
        <v>0</v>
      </c>
      <c r="BA28" s="84">
        <f>'Restating Adj'!BA28+'Pro Forma Adj'!BA28</f>
        <v>0</v>
      </c>
      <c r="BB28" s="84">
        <f>'Restating Adj'!BB28+'Pro Forma Adj'!BB28</f>
        <v>0</v>
      </c>
      <c r="BC28" s="86">
        <f>'Restating Adj'!BC28+'Pro Forma Adj'!BC28</f>
        <v>0</v>
      </c>
      <c r="BD28" s="32">
        <f>'Restating Adj'!BD28+'Pro Forma Adj'!BD28</f>
        <v>0</v>
      </c>
      <c r="BE28" s="84">
        <f>'Restating Adj'!BE28+'Pro Forma Adj'!BE28</f>
        <v>0</v>
      </c>
      <c r="BF28" s="84">
        <f>'Restating Adj'!BF28+'Pro Forma Adj'!BF28</f>
        <v>0</v>
      </c>
      <c r="BG28" s="86">
        <f>'Restating Adj'!BG28+'Pro Forma Adj'!BG28</f>
        <v>0</v>
      </c>
    </row>
    <row r="29" spans="1:59" x14ac:dyDescent="0.2">
      <c r="A29" s="14" t="s">
        <v>62</v>
      </c>
      <c r="B29" s="270">
        <f t="shared" si="10"/>
        <v>-16527110.165929401</v>
      </c>
      <c r="C29" s="28">
        <f>SUM(C19:C28)</f>
        <v>0</v>
      </c>
      <c r="D29" s="12">
        <f t="shared" ref="D29:AS29" si="11">SUM(D19:D28)</f>
        <v>0</v>
      </c>
      <c r="E29" s="12">
        <f t="shared" si="11"/>
        <v>0</v>
      </c>
      <c r="F29" s="75">
        <f t="shared" si="11"/>
        <v>0</v>
      </c>
      <c r="G29" s="76">
        <f t="shared" si="11"/>
        <v>8979.0265549808337</v>
      </c>
      <c r="H29" s="28">
        <f t="shared" si="11"/>
        <v>177949.93579636046</v>
      </c>
      <c r="I29" s="12">
        <f t="shared" si="11"/>
        <v>1272028.0928324289</v>
      </c>
      <c r="J29" s="12">
        <f t="shared" si="11"/>
        <v>-545970.89967067912</v>
      </c>
      <c r="K29" s="12">
        <f t="shared" si="11"/>
        <v>-13000.76973625276</v>
      </c>
      <c r="L29" s="12">
        <f t="shared" si="11"/>
        <v>15875.448713248625</v>
      </c>
      <c r="M29" s="75">
        <f t="shared" si="11"/>
        <v>62258.880074109882</v>
      </c>
      <c r="N29" s="28">
        <f t="shared" si="11"/>
        <v>38937.904917300068</v>
      </c>
      <c r="O29" s="12">
        <f t="shared" si="11"/>
        <v>877733.72</v>
      </c>
      <c r="P29" s="12">
        <f t="shared" si="11"/>
        <v>0</v>
      </c>
      <c r="Q29" s="12">
        <f t="shared" si="11"/>
        <v>438379.12901055615</v>
      </c>
      <c r="R29" s="12">
        <f t="shared" si="11"/>
        <v>101625.68393873476</v>
      </c>
      <c r="S29" s="75">
        <f t="shared" si="11"/>
        <v>147521.18755746336</v>
      </c>
      <c r="T29" s="28">
        <f t="shared" ref="T29:U29" si="12">SUM(T19:T28)</f>
        <v>-5675631.15033664</v>
      </c>
      <c r="U29" s="12">
        <f t="shared" si="12"/>
        <v>-18068961.85961505</v>
      </c>
      <c r="V29" s="12">
        <f t="shared" ref="V29:W29" si="13">SUM(V19:V28)</f>
        <v>-533051.9313268289</v>
      </c>
      <c r="W29" s="12">
        <f t="shared" si="13"/>
        <v>160000</v>
      </c>
      <c r="X29" s="75">
        <f t="shared" ref="X29" si="14">SUM(X19:X28)</f>
        <v>39055.520699857421</v>
      </c>
      <c r="Y29" s="76">
        <f t="shared" si="11"/>
        <v>0</v>
      </c>
      <c r="Z29" s="28">
        <f t="shared" si="11"/>
        <v>0</v>
      </c>
      <c r="AA29" s="12">
        <f t="shared" si="11"/>
        <v>0</v>
      </c>
      <c r="AB29" s="12">
        <f t="shared" si="11"/>
        <v>0</v>
      </c>
      <c r="AC29" s="75">
        <f t="shared" ref="AC29" si="15">SUM(AC19:AC28)</f>
        <v>157910.47932691837</v>
      </c>
      <c r="AD29" s="28">
        <f t="shared" si="11"/>
        <v>0</v>
      </c>
      <c r="AE29" s="75">
        <f t="shared" si="11"/>
        <v>0</v>
      </c>
      <c r="AF29" s="28">
        <f t="shared" si="11"/>
        <v>0</v>
      </c>
      <c r="AG29" s="12">
        <f t="shared" si="11"/>
        <v>0</v>
      </c>
      <c r="AH29" s="12">
        <f t="shared" si="11"/>
        <v>0</v>
      </c>
      <c r="AI29" s="12">
        <f t="shared" si="11"/>
        <v>0</v>
      </c>
      <c r="AJ29" s="12">
        <f t="shared" si="11"/>
        <v>0</v>
      </c>
      <c r="AK29" s="75">
        <f t="shared" si="11"/>
        <v>0</v>
      </c>
      <c r="AL29" s="28">
        <f t="shared" si="11"/>
        <v>0</v>
      </c>
      <c r="AM29" s="12">
        <f t="shared" ref="AM29:AO29" si="16">SUM(AM19:AM28)</f>
        <v>0</v>
      </c>
      <c r="AN29" s="12">
        <f t="shared" si="16"/>
        <v>0</v>
      </c>
      <c r="AO29" s="75">
        <f t="shared" si="16"/>
        <v>0</v>
      </c>
      <c r="AP29" s="28">
        <f t="shared" si="11"/>
        <v>0</v>
      </c>
      <c r="AQ29" s="75">
        <f t="shared" si="11"/>
        <v>99999.999999999985</v>
      </c>
      <c r="AR29" s="28">
        <f t="shared" si="11"/>
        <v>0</v>
      </c>
      <c r="AS29" s="12">
        <f t="shared" si="11"/>
        <v>0</v>
      </c>
      <c r="AT29" s="12">
        <f t="shared" ref="AT29:BB29" si="17">SUM(AT19:AT28)</f>
        <v>0</v>
      </c>
      <c r="AU29" s="12">
        <f t="shared" si="17"/>
        <v>0</v>
      </c>
      <c r="AV29" s="12">
        <f t="shared" si="17"/>
        <v>0</v>
      </c>
      <c r="AW29" s="75">
        <f t="shared" si="17"/>
        <v>0</v>
      </c>
      <c r="AX29" s="28">
        <f t="shared" si="17"/>
        <v>0</v>
      </c>
      <c r="AY29" s="12">
        <f t="shared" si="17"/>
        <v>0</v>
      </c>
      <c r="AZ29" s="12">
        <f t="shared" si="17"/>
        <v>0</v>
      </c>
      <c r="BA29" s="12">
        <f t="shared" si="17"/>
        <v>0</v>
      </c>
      <c r="BB29" s="12">
        <f t="shared" si="17"/>
        <v>1557310.668266339</v>
      </c>
      <c r="BC29" s="75">
        <f t="shared" ref="BC29" si="18">SUM(BC19:BC28)</f>
        <v>8498026.3756711129</v>
      </c>
      <c r="BD29" s="28">
        <f t="shared" ref="BD29:BG29" si="19">SUM(BD19:BD28)</f>
        <v>-2431918.1914151143</v>
      </c>
      <c r="BE29" s="12">
        <f t="shared" si="19"/>
        <v>-3002486.5854923334</v>
      </c>
      <c r="BF29" s="12">
        <f t="shared" si="19"/>
        <v>0</v>
      </c>
      <c r="BG29" s="75">
        <f t="shared" si="19"/>
        <v>90319.16830408643</v>
      </c>
    </row>
    <row r="30" spans="1:59" x14ac:dyDescent="0.2">
      <c r="A30" s="14" t="s">
        <v>63</v>
      </c>
      <c r="B30" s="29">
        <f t="shared" si="10"/>
        <v>75986475.357389167</v>
      </c>
      <c r="C30" s="30">
        <f>'Restating Adj'!C30+'Pro Forma Adj'!C30</f>
        <v>0</v>
      </c>
      <c r="D30" s="79">
        <f>'Restating Adj'!D30+'Pro Forma Adj'!D30</f>
        <v>0</v>
      </c>
      <c r="E30" s="79">
        <f>'Restating Adj'!E30+'Pro Forma Adj'!E30</f>
        <v>0</v>
      </c>
      <c r="F30" s="80">
        <f>'Restating Adj'!F30+'Pro Forma Adj'!F30</f>
        <v>0</v>
      </c>
      <c r="G30" s="275">
        <f>'Restating Adj'!G30+'Pro Forma Adj'!G30</f>
        <v>-485148.8497193756</v>
      </c>
      <c r="H30" s="30">
        <f>'Restating Adj'!H30+'Pro Forma Adj'!H30</f>
        <v>0</v>
      </c>
      <c r="I30" s="79">
        <f>'Restating Adj'!I30+'Pro Forma Adj'!I30</f>
        <v>0</v>
      </c>
      <c r="J30" s="79">
        <f>'Restating Adj'!J30+'Pro Forma Adj'!J30</f>
        <v>0</v>
      </c>
      <c r="K30" s="79">
        <f>'Restating Adj'!K30+'Pro Forma Adj'!K30</f>
        <v>0</v>
      </c>
      <c r="L30" s="79">
        <f>'Restating Adj'!L30+'Pro Forma Adj'!L30</f>
        <v>0</v>
      </c>
      <c r="M30" s="80">
        <f>'Restating Adj'!M30+'Pro Forma Adj'!M30</f>
        <v>0</v>
      </c>
      <c r="N30" s="30">
        <f>'Restating Adj'!N30+'Pro Forma Adj'!N30</f>
        <v>0</v>
      </c>
      <c r="O30" s="79">
        <f>'Restating Adj'!O30+'Pro Forma Adj'!O30</f>
        <v>0</v>
      </c>
      <c r="P30" s="79">
        <f>'Restating Adj'!P30+'Pro Forma Adj'!P30</f>
        <v>0</v>
      </c>
      <c r="Q30" s="79">
        <f>'Restating Adj'!Q30+'Pro Forma Adj'!Q30</f>
        <v>0</v>
      </c>
      <c r="R30" s="79">
        <f>'Restating Adj'!R30+'Pro Forma Adj'!R30</f>
        <v>0</v>
      </c>
      <c r="S30" s="80">
        <f>'Restating Adj'!S30+'Pro Forma Adj'!S30</f>
        <v>0</v>
      </c>
      <c r="T30" s="30">
        <f>'Restating Adj'!T30+'Pro Forma Adj'!T30</f>
        <v>0</v>
      </c>
      <c r="U30" s="79">
        <f>'Restating Adj'!U30+'Pro Forma Adj'!U30</f>
        <v>0</v>
      </c>
      <c r="V30" s="79">
        <f>'Restating Adj'!V30+'Pro Forma Adj'!V30</f>
        <v>0</v>
      </c>
      <c r="W30" s="79">
        <f>'Restating Adj'!W30+'Pro Forma Adj'!W30</f>
        <v>0</v>
      </c>
      <c r="X30" s="80">
        <f>'Restating Adj'!X30+'Pro Forma Adj'!X30</f>
        <v>0</v>
      </c>
      <c r="Y30" s="275">
        <f>'Restating Adj'!Y30+'Pro Forma Adj'!Y30</f>
        <v>-553453.43854607455</v>
      </c>
      <c r="Z30" s="30">
        <f>'Restating Adj'!Z30+'Pro Forma Adj'!Z30</f>
        <v>0</v>
      </c>
      <c r="AA30" s="79">
        <f>'Restating Adj'!AA30+'Pro Forma Adj'!AA30</f>
        <v>0</v>
      </c>
      <c r="AB30" s="79">
        <f>'Restating Adj'!AB30+'Pro Forma Adj'!AB30</f>
        <v>75779202.472963661</v>
      </c>
      <c r="AC30" s="80">
        <f>'Restating Adj'!AC30+'Pro Forma Adj'!AC30</f>
        <v>2489393.5538559048</v>
      </c>
      <c r="AD30" s="30">
        <f>'Restating Adj'!AD30+'Pro Forma Adj'!AD30</f>
        <v>0</v>
      </c>
      <c r="AE30" s="80">
        <f>'Restating Adj'!AE30+'Pro Forma Adj'!AE30</f>
        <v>0</v>
      </c>
      <c r="AF30" s="30">
        <f>'Restating Adj'!AF30+'Pro Forma Adj'!AF30</f>
        <v>0</v>
      </c>
      <c r="AG30" s="79">
        <f>'Restating Adj'!AG30+'Pro Forma Adj'!AG30</f>
        <v>0</v>
      </c>
      <c r="AH30" s="79">
        <f>'Restating Adj'!AH30+'Pro Forma Adj'!AH30</f>
        <v>0</v>
      </c>
      <c r="AI30" s="79">
        <f>'Restating Adj'!AI30+'Pro Forma Adj'!AI30</f>
        <v>0</v>
      </c>
      <c r="AJ30" s="79">
        <f>'Restating Adj'!AJ30+'Pro Forma Adj'!AJ30</f>
        <v>0</v>
      </c>
      <c r="AK30" s="80">
        <f>'Restating Adj'!AK30+'Pro Forma Adj'!AK30</f>
        <v>0</v>
      </c>
      <c r="AL30" s="30">
        <f>'Restating Adj'!AL30+'Pro Forma Adj'!AL30</f>
        <v>0</v>
      </c>
      <c r="AM30" s="79">
        <f>'Restating Adj'!AM30+'Pro Forma Adj'!AM30</f>
        <v>0</v>
      </c>
      <c r="AN30" s="79">
        <f>'Restating Adj'!AN30+'Pro Forma Adj'!AN30</f>
        <v>0</v>
      </c>
      <c r="AO30" s="80">
        <f>'Restating Adj'!AO30+'Pro Forma Adj'!AO30</f>
        <v>0</v>
      </c>
      <c r="AP30" s="30">
        <f>'Restating Adj'!AP30+'Pro Forma Adj'!AP30</f>
        <v>0</v>
      </c>
      <c r="AQ30" s="80">
        <f>'Restating Adj'!AQ30+'Pro Forma Adj'!AQ30</f>
        <v>0</v>
      </c>
      <c r="AR30" s="30">
        <f>'Restating Adj'!AR30+'Pro Forma Adj'!AR30</f>
        <v>0</v>
      </c>
      <c r="AS30" s="79">
        <f>'Restating Adj'!AS30+'Pro Forma Adj'!AS30</f>
        <v>0</v>
      </c>
      <c r="AT30" s="79">
        <f>'Restating Adj'!AT30+'Pro Forma Adj'!AT30</f>
        <v>0</v>
      </c>
      <c r="AU30" s="79">
        <f>'Restating Adj'!AU30+'Pro Forma Adj'!AU30</f>
        <v>-208716</v>
      </c>
      <c r="AV30" s="79">
        <f>'Restating Adj'!AV30+'Pro Forma Adj'!AV30</f>
        <v>0</v>
      </c>
      <c r="AW30" s="80">
        <f>'Restating Adj'!AW30+'Pro Forma Adj'!AW30</f>
        <v>0</v>
      </c>
      <c r="AX30" s="30">
        <f>'Restating Adj'!AX30+'Pro Forma Adj'!AX30</f>
        <v>0</v>
      </c>
      <c r="AY30" s="79">
        <f>'Restating Adj'!AY30+'Pro Forma Adj'!AY30</f>
        <v>0</v>
      </c>
      <c r="AZ30" s="79">
        <f>'Restating Adj'!AZ30+'Pro Forma Adj'!AZ30</f>
        <v>0</v>
      </c>
      <c r="BA30" s="79">
        <f>'Restating Adj'!BA30+'Pro Forma Adj'!BA30</f>
        <v>-405882.31407772377</v>
      </c>
      <c r="BB30" s="79">
        <f>'Restating Adj'!BB30+'Pro Forma Adj'!BB30</f>
        <v>235793.84169383661</v>
      </c>
      <c r="BC30" s="80">
        <f>'Restating Adj'!BC30+'Pro Forma Adj'!BC30</f>
        <v>0</v>
      </c>
      <c r="BD30" s="30">
        <f>'Restating Adj'!BD30+'Pro Forma Adj'!BD30</f>
        <v>51447.741016477754</v>
      </c>
      <c r="BE30" s="79">
        <f>'Restating Adj'!BE30+'Pro Forma Adj'!BE30</f>
        <v>-1780354.2717167686</v>
      </c>
      <c r="BF30" s="79">
        <f>'Restating Adj'!BF30+'Pro Forma Adj'!BF30</f>
        <v>151343.27845627139</v>
      </c>
      <c r="BG30" s="80">
        <f>'Restating Adj'!BG30+'Pro Forma Adj'!BG30</f>
        <v>712849.34346295381</v>
      </c>
    </row>
    <row r="31" spans="1:59" x14ac:dyDescent="0.2">
      <c r="A31" s="14" t="s">
        <v>64</v>
      </c>
      <c r="B31" s="29">
        <f t="shared" si="10"/>
        <v>2839433.8911172515</v>
      </c>
      <c r="C31" s="30">
        <f>'Restating Adj'!C31+'Pro Forma Adj'!C31</f>
        <v>0</v>
      </c>
      <c r="D31" s="79">
        <f>'Restating Adj'!D31+'Pro Forma Adj'!D31</f>
        <v>0</v>
      </c>
      <c r="E31" s="79">
        <f>'Restating Adj'!E31+'Pro Forma Adj'!E31</f>
        <v>0</v>
      </c>
      <c r="F31" s="80">
        <f>'Restating Adj'!F31+'Pro Forma Adj'!F31</f>
        <v>0</v>
      </c>
      <c r="G31" s="275">
        <f>'Restating Adj'!G31+'Pro Forma Adj'!G31</f>
        <v>0</v>
      </c>
      <c r="H31" s="30">
        <f>'Restating Adj'!H31+'Pro Forma Adj'!H31</f>
        <v>0</v>
      </c>
      <c r="I31" s="79">
        <f>'Restating Adj'!I31+'Pro Forma Adj'!I31</f>
        <v>0</v>
      </c>
      <c r="J31" s="79">
        <f>'Restating Adj'!J31+'Pro Forma Adj'!J31</f>
        <v>0</v>
      </c>
      <c r="K31" s="79">
        <f>'Restating Adj'!K31+'Pro Forma Adj'!K31</f>
        <v>0</v>
      </c>
      <c r="L31" s="79">
        <f>'Restating Adj'!L31+'Pro Forma Adj'!L31</f>
        <v>0</v>
      </c>
      <c r="M31" s="80">
        <f>'Restating Adj'!M31+'Pro Forma Adj'!M31</f>
        <v>0</v>
      </c>
      <c r="N31" s="30">
        <f>'Restating Adj'!N31+'Pro Forma Adj'!N31</f>
        <v>0</v>
      </c>
      <c r="O31" s="79">
        <f>'Restating Adj'!O31+'Pro Forma Adj'!O31</f>
        <v>0</v>
      </c>
      <c r="P31" s="79">
        <f>'Restating Adj'!P31+'Pro Forma Adj'!P31</f>
        <v>0</v>
      </c>
      <c r="Q31" s="79">
        <f>'Restating Adj'!Q31+'Pro Forma Adj'!Q31</f>
        <v>0</v>
      </c>
      <c r="R31" s="79">
        <f>'Restating Adj'!R31+'Pro Forma Adj'!R31</f>
        <v>0</v>
      </c>
      <c r="S31" s="80">
        <f>'Restating Adj'!S31+'Pro Forma Adj'!S31</f>
        <v>0</v>
      </c>
      <c r="T31" s="30">
        <f>'Restating Adj'!T31+'Pro Forma Adj'!T31</f>
        <v>0</v>
      </c>
      <c r="U31" s="79">
        <f>'Restating Adj'!U31+'Pro Forma Adj'!U31</f>
        <v>0</v>
      </c>
      <c r="V31" s="79">
        <f>'Restating Adj'!V31+'Pro Forma Adj'!V31</f>
        <v>0</v>
      </c>
      <c r="W31" s="79">
        <f>'Restating Adj'!W31+'Pro Forma Adj'!W31</f>
        <v>0</v>
      </c>
      <c r="X31" s="80">
        <f>'Restating Adj'!X31+'Pro Forma Adj'!X31</f>
        <v>737.58465057384717</v>
      </c>
      <c r="Y31" s="275">
        <f>'Restating Adj'!Y31+'Pro Forma Adj'!Y31</f>
        <v>-1898437.4798311831</v>
      </c>
      <c r="Z31" s="30">
        <f>'Restating Adj'!Z31+'Pro Forma Adj'!Z31</f>
        <v>0</v>
      </c>
      <c r="AA31" s="79">
        <f>'Restating Adj'!AA31+'Pro Forma Adj'!AA31</f>
        <v>0</v>
      </c>
      <c r="AB31" s="79">
        <f>'Restating Adj'!AB31+'Pro Forma Adj'!AB31</f>
        <v>0</v>
      </c>
      <c r="AC31" s="80">
        <f>'Restating Adj'!AC31+'Pro Forma Adj'!AC31</f>
        <v>27800.429659557885</v>
      </c>
      <c r="AD31" s="30">
        <f>'Restating Adj'!AD31+'Pro Forma Adj'!AD31</f>
        <v>0</v>
      </c>
      <c r="AE31" s="80">
        <f>'Restating Adj'!AE31+'Pro Forma Adj'!AE31</f>
        <v>0</v>
      </c>
      <c r="AF31" s="30">
        <f>'Restating Adj'!AF31+'Pro Forma Adj'!AF31</f>
        <v>0</v>
      </c>
      <c r="AG31" s="79">
        <f>'Restating Adj'!AG31+'Pro Forma Adj'!AG31</f>
        <v>0</v>
      </c>
      <c r="AH31" s="79">
        <f>'Restating Adj'!AH31+'Pro Forma Adj'!AH31</f>
        <v>0</v>
      </c>
      <c r="AI31" s="79">
        <f>'Restating Adj'!AI31+'Pro Forma Adj'!AI31</f>
        <v>0</v>
      </c>
      <c r="AJ31" s="79">
        <f>'Restating Adj'!AJ31+'Pro Forma Adj'!AJ31</f>
        <v>0</v>
      </c>
      <c r="AK31" s="80">
        <f>'Restating Adj'!AK31+'Pro Forma Adj'!AK31</f>
        <v>0</v>
      </c>
      <c r="AL31" s="30">
        <f>'Restating Adj'!AL31+'Pro Forma Adj'!AL31</f>
        <v>0</v>
      </c>
      <c r="AM31" s="79">
        <f>'Restating Adj'!AM31+'Pro Forma Adj'!AM31</f>
        <v>0</v>
      </c>
      <c r="AN31" s="79">
        <f>'Restating Adj'!AN31+'Pro Forma Adj'!AN31</f>
        <v>0</v>
      </c>
      <c r="AO31" s="80">
        <f>'Restating Adj'!AO31+'Pro Forma Adj'!AO31</f>
        <v>0</v>
      </c>
      <c r="AP31" s="30">
        <f>'Restating Adj'!AP31+'Pro Forma Adj'!AP31</f>
        <v>0</v>
      </c>
      <c r="AQ31" s="80">
        <f>'Restating Adj'!AQ31+'Pro Forma Adj'!AQ31</f>
        <v>573050.93356392439</v>
      </c>
      <c r="AR31" s="30">
        <f>'Restating Adj'!AR31+'Pro Forma Adj'!AR31</f>
        <v>0</v>
      </c>
      <c r="AS31" s="79">
        <f>'Restating Adj'!AS31+'Pro Forma Adj'!AS31</f>
        <v>0</v>
      </c>
      <c r="AT31" s="79">
        <f>'Restating Adj'!AT31+'Pro Forma Adj'!AT31</f>
        <v>0</v>
      </c>
      <c r="AU31" s="79">
        <f>'Restating Adj'!AU31+'Pro Forma Adj'!AU31</f>
        <v>0</v>
      </c>
      <c r="AV31" s="79">
        <f>'Restating Adj'!AV31+'Pro Forma Adj'!AV31</f>
        <v>0</v>
      </c>
      <c r="AW31" s="80">
        <f>'Restating Adj'!AW31+'Pro Forma Adj'!AW31</f>
        <v>0</v>
      </c>
      <c r="AX31" s="30">
        <f>'Restating Adj'!AX31+'Pro Forma Adj'!AX31</f>
        <v>0</v>
      </c>
      <c r="AY31" s="79">
        <f>'Restating Adj'!AY31+'Pro Forma Adj'!AY31</f>
        <v>0</v>
      </c>
      <c r="AZ31" s="79">
        <f>'Restating Adj'!AZ31+'Pro Forma Adj'!AZ31</f>
        <v>0</v>
      </c>
      <c r="BA31" s="79">
        <f>'Restating Adj'!BA31+'Pro Forma Adj'!BA31</f>
        <v>0</v>
      </c>
      <c r="BB31" s="79">
        <f>'Restating Adj'!BB31+'Pro Forma Adj'!BB31</f>
        <v>0</v>
      </c>
      <c r="BC31" s="80">
        <f>'Restating Adj'!BC31+'Pro Forma Adj'!BC31</f>
        <v>4519119.2673896849</v>
      </c>
      <c r="BD31" s="30">
        <f>'Restating Adj'!BD31+'Pro Forma Adj'!BD31</f>
        <v>0</v>
      </c>
      <c r="BE31" s="79">
        <f>'Restating Adj'!BE31+'Pro Forma Adj'!BE31</f>
        <v>-382836.84431530652</v>
      </c>
      <c r="BF31" s="79">
        <f>'Restating Adj'!BF31+'Pro Forma Adj'!BF31</f>
        <v>0</v>
      </c>
      <c r="BG31" s="80">
        <f>'Restating Adj'!BG31+'Pro Forma Adj'!BG31</f>
        <v>0</v>
      </c>
    </row>
    <row r="32" spans="1:59" x14ac:dyDescent="0.2">
      <c r="A32" s="14" t="s">
        <v>65</v>
      </c>
      <c r="B32" s="29">
        <f t="shared" si="10"/>
        <v>2031208.6626554942</v>
      </c>
      <c r="C32" s="30">
        <f>'Restating Adj'!C32+'Pro Forma Adj'!C32</f>
        <v>0</v>
      </c>
      <c r="D32" s="79">
        <f>'Restating Adj'!D32+'Pro Forma Adj'!D32</f>
        <v>0</v>
      </c>
      <c r="E32" s="79">
        <f>'Restating Adj'!E32+'Pro Forma Adj'!E32</f>
        <v>0</v>
      </c>
      <c r="F32" s="80">
        <f>'Restating Adj'!F32+'Pro Forma Adj'!F32</f>
        <v>0</v>
      </c>
      <c r="G32" s="275">
        <f>'Restating Adj'!G32+'Pro Forma Adj'!G32</f>
        <v>0</v>
      </c>
      <c r="H32" s="30">
        <f>'Restating Adj'!H32+'Pro Forma Adj'!H32</f>
        <v>0</v>
      </c>
      <c r="I32" s="79">
        <f>'Restating Adj'!I32+'Pro Forma Adj'!I32</f>
        <v>0</v>
      </c>
      <c r="J32" s="79">
        <f>'Restating Adj'!J32+'Pro Forma Adj'!J32</f>
        <v>0</v>
      </c>
      <c r="K32" s="79">
        <f>'Restating Adj'!K32+'Pro Forma Adj'!K32</f>
        <v>0</v>
      </c>
      <c r="L32" s="79">
        <f>'Restating Adj'!L32+'Pro Forma Adj'!L32</f>
        <v>0</v>
      </c>
      <c r="M32" s="80">
        <f>'Restating Adj'!M32+'Pro Forma Adj'!M32</f>
        <v>0</v>
      </c>
      <c r="N32" s="30">
        <f>'Restating Adj'!N32+'Pro Forma Adj'!N32</f>
        <v>0</v>
      </c>
      <c r="O32" s="79">
        <f>'Restating Adj'!O32+'Pro Forma Adj'!O32</f>
        <v>0</v>
      </c>
      <c r="P32" s="79">
        <f>'Restating Adj'!P32+'Pro Forma Adj'!P32</f>
        <v>0</v>
      </c>
      <c r="Q32" s="79">
        <f>'Restating Adj'!Q32+'Pro Forma Adj'!Q32</f>
        <v>0</v>
      </c>
      <c r="R32" s="79">
        <f>'Restating Adj'!R32+'Pro Forma Adj'!R32</f>
        <v>0</v>
      </c>
      <c r="S32" s="80">
        <f>'Restating Adj'!S32+'Pro Forma Adj'!S32</f>
        <v>0</v>
      </c>
      <c r="T32" s="30">
        <f>'Restating Adj'!T32+'Pro Forma Adj'!T32</f>
        <v>0</v>
      </c>
      <c r="U32" s="79">
        <f>'Restating Adj'!U32+'Pro Forma Adj'!U32</f>
        <v>0</v>
      </c>
      <c r="V32" s="79">
        <f>'Restating Adj'!V32+'Pro Forma Adj'!V32</f>
        <v>-37468.940999178878</v>
      </c>
      <c r="W32" s="79">
        <f>'Restating Adj'!W32+'Pro Forma Adj'!W32</f>
        <v>0</v>
      </c>
      <c r="X32" s="80">
        <f>'Restating Adj'!X32+'Pro Forma Adj'!X32</f>
        <v>0</v>
      </c>
      <c r="Y32" s="275">
        <f>'Restating Adj'!Y32+'Pro Forma Adj'!Y32</f>
        <v>0</v>
      </c>
      <c r="Z32" s="30">
        <f>'Restating Adj'!Z32+'Pro Forma Adj'!Z32</f>
        <v>0</v>
      </c>
      <c r="AA32" s="79">
        <f>'Restating Adj'!AA32+'Pro Forma Adj'!AA32</f>
        <v>0</v>
      </c>
      <c r="AB32" s="79">
        <f>'Restating Adj'!AB32+'Pro Forma Adj'!AB32</f>
        <v>0</v>
      </c>
      <c r="AC32" s="80">
        <f>'Restating Adj'!AC32+'Pro Forma Adj'!AC32</f>
        <v>0</v>
      </c>
      <c r="AD32" s="30">
        <f>'Restating Adj'!AD32+'Pro Forma Adj'!AD32</f>
        <v>0</v>
      </c>
      <c r="AE32" s="80">
        <f>'Restating Adj'!AE32+'Pro Forma Adj'!AE32</f>
        <v>2141949</v>
      </c>
      <c r="AF32" s="30">
        <f>'Restating Adj'!AF32+'Pro Forma Adj'!AF32</f>
        <v>0</v>
      </c>
      <c r="AG32" s="79">
        <f>'Restating Adj'!AG32+'Pro Forma Adj'!AG32</f>
        <v>0</v>
      </c>
      <c r="AH32" s="79">
        <f>'Restating Adj'!AH32+'Pro Forma Adj'!AH32</f>
        <v>0</v>
      </c>
      <c r="AI32" s="79">
        <f>'Restating Adj'!AI32+'Pro Forma Adj'!AI32</f>
        <v>0</v>
      </c>
      <c r="AJ32" s="79">
        <f>'Restating Adj'!AJ32+'Pro Forma Adj'!AJ32</f>
        <v>-250376</v>
      </c>
      <c r="AK32" s="80">
        <f>'Restating Adj'!AK32+'Pro Forma Adj'!AK32</f>
        <v>0</v>
      </c>
      <c r="AL32" s="30">
        <f>'Restating Adj'!AL32+'Pro Forma Adj'!AL32</f>
        <v>-3308</v>
      </c>
      <c r="AM32" s="79">
        <f>'Restating Adj'!AM32+'Pro Forma Adj'!AM32</f>
        <v>180412.60365467297</v>
      </c>
      <c r="AN32" s="79">
        <f>'Restating Adj'!AN32+'Pro Forma Adj'!AN32</f>
        <v>0</v>
      </c>
      <c r="AO32" s="80">
        <f>'Restating Adj'!AO32+'Pro Forma Adj'!AO32</f>
        <v>0</v>
      </c>
      <c r="AP32" s="30">
        <f>'Restating Adj'!AP32+'Pro Forma Adj'!AP32</f>
        <v>0</v>
      </c>
      <c r="AQ32" s="80">
        <f>'Restating Adj'!AQ32+'Pro Forma Adj'!AQ32</f>
        <v>0</v>
      </c>
      <c r="AR32" s="30">
        <f>'Restating Adj'!AR32+'Pro Forma Adj'!AR32</f>
        <v>0</v>
      </c>
      <c r="AS32" s="79">
        <f>'Restating Adj'!AS32+'Pro Forma Adj'!AS32</f>
        <v>0</v>
      </c>
      <c r="AT32" s="79">
        <f>'Restating Adj'!AT32+'Pro Forma Adj'!AT32</f>
        <v>0</v>
      </c>
      <c r="AU32" s="79">
        <f>'Restating Adj'!AU32+'Pro Forma Adj'!AU32</f>
        <v>0</v>
      </c>
      <c r="AV32" s="79">
        <f>'Restating Adj'!AV32+'Pro Forma Adj'!AV32</f>
        <v>0</v>
      </c>
      <c r="AW32" s="80">
        <f>'Restating Adj'!AW32+'Pro Forma Adj'!AW32</f>
        <v>0</v>
      </c>
      <c r="AX32" s="30">
        <f>'Restating Adj'!AX32+'Pro Forma Adj'!AX32</f>
        <v>0</v>
      </c>
      <c r="AY32" s="79">
        <f>'Restating Adj'!AY32+'Pro Forma Adj'!AY32</f>
        <v>0</v>
      </c>
      <c r="AZ32" s="79">
        <f>'Restating Adj'!AZ32+'Pro Forma Adj'!AZ32</f>
        <v>0</v>
      </c>
      <c r="BA32" s="79">
        <f>'Restating Adj'!BA32+'Pro Forma Adj'!BA32</f>
        <v>0</v>
      </c>
      <c r="BB32" s="79">
        <f>'Restating Adj'!BB32+'Pro Forma Adj'!BB32</f>
        <v>0</v>
      </c>
      <c r="BC32" s="80">
        <f>'Restating Adj'!BC32+'Pro Forma Adj'!BC32</f>
        <v>0</v>
      </c>
      <c r="BD32" s="30">
        <f>'Restating Adj'!BD32+'Pro Forma Adj'!BD32</f>
        <v>0</v>
      </c>
      <c r="BE32" s="79">
        <f>'Restating Adj'!BE32+'Pro Forma Adj'!BE32</f>
        <v>0</v>
      </c>
      <c r="BF32" s="79">
        <f>'Restating Adj'!BF32+'Pro Forma Adj'!BF32</f>
        <v>0</v>
      </c>
      <c r="BG32" s="80">
        <f>'Restating Adj'!BG32+'Pro Forma Adj'!BG32</f>
        <v>0</v>
      </c>
    </row>
    <row r="33" spans="1:59" x14ac:dyDescent="0.2">
      <c r="A33" s="14" t="s">
        <v>66</v>
      </c>
      <c r="B33" s="29">
        <f t="shared" si="10"/>
        <v>-16007185.505418204</v>
      </c>
      <c r="C33" s="30">
        <f>'Restating Adj'!C33+'Pro Forma Adj'!C33</f>
        <v>-1357438.9373999999</v>
      </c>
      <c r="D33" s="79">
        <f>'Restating Adj'!D33+'Pro Forma Adj'!D33</f>
        <v>6157493.3302624086</v>
      </c>
      <c r="E33" s="79">
        <f>'Restating Adj'!E33+'Pro Forma Adj'!E33</f>
        <v>13026.83751075797</v>
      </c>
      <c r="F33" s="80">
        <f>'Restating Adj'!F33+'Pro Forma Adj'!F33</f>
        <v>95888.29506480429</v>
      </c>
      <c r="G33" s="275">
        <f>'Restating Adj'!G33+'Pro Forma Adj'!G33</f>
        <v>44314.310007560016</v>
      </c>
      <c r="H33" s="30">
        <f>'Restating Adj'!H33+'Pro Forma Adj'!H33</f>
        <v>-37369.486517235695</v>
      </c>
      <c r="I33" s="79">
        <f>'Restating Adj'!I33+'Pro Forma Adj'!I33</f>
        <v>-267125.89949481003</v>
      </c>
      <c r="J33" s="79">
        <f>'Restating Adj'!J33+'Pro Forma Adj'!J33</f>
        <v>114653.88893084259</v>
      </c>
      <c r="K33" s="79">
        <f>'Restating Adj'!K33+'Pro Forma Adj'!K33</f>
        <v>2730.1616446130793</v>
      </c>
      <c r="L33" s="79">
        <f>'Restating Adj'!L33+'Pro Forma Adj'!L33</f>
        <v>-3333.8442297822112</v>
      </c>
      <c r="M33" s="80">
        <f>'Restating Adj'!M33+'Pro Forma Adj'!M33</f>
        <v>-13074.364815563074</v>
      </c>
      <c r="N33" s="30">
        <f>'Restating Adj'!N33+'Pro Forma Adj'!N33</f>
        <v>-8176.9600326330137</v>
      </c>
      <c r="O33" s="79">
        <f>'Restating Adj'!O33+'Pro Forma Adj'!O33</f>
        <v>-274185.64353349555</v>
      </c>
      <c r="P33" s="79">
        <f>'Restating Adj'!P33+'Pro Forma Adj'!P33</f>
        <v>-52962.783300000003</v>
      </c>
      <c r="Q33" s="79">
        <f>'Restating Adj'!Q33+'Pro Forma Adj'!Q33</f>
        <v>-93746.534944430314</v>
      </c>
      <c r="R33" s="79">
        <f>'Restating Adj'!R33+'Pro Forma Adj'!R33</f>
        <v>-21341.393627134297</v>
      </c>
      <c r="S33" s="80">
        <f>'Restating Adj'!S33+'Pro Forma Adj'!S33</f>
        <v>-30979.449387067303</v>
      </c>
      <c r="T33" s="30">
        <f>'Restating Adj'!T33+'Pro Forma Adj'!T33</f>
        <v>1191882.5415706944</v>
      </c>
      <c r="U33" s="79">
        <f>'Restating Adj'!U33+'Pro Forma Adj'!U33</f>
        <v>686281.93452136894</v>
      </c>
      <c r="V33" s="79">
        <f>'Restating Adj'!V33+'Pro Forma Adj'!V33</f>
        <v>54429.022984475894</v>
      </c>
      <c r="W33" s="79">
        <f>'Restating Adj'!W33+'Pro Forma Adj'!W33</f>
        <v>-33600</v>
      </c>
      <c r="X33" s="80">
        <f>'Restating Adj'!X33+'Pro Forma Adj'!X33</f>
        <v>-30070.563829731018</v>
      </c>
      <c r="Y33" s="275">
        <f>'Restating Adj'!Y33+'Pro Forma Adj'!Y33</f>
        <v>514897.09285922413</v>
      </c>
      <c r="Z33" s="30">
        <f>'Restating Adj'!Z33+'Pro Forma Adj'!Z33</f>
        <v>0</v>
      </c>
      <c r="AA33" s="79">
        <f>'Restating Adj'!AA33+'Pro Forma Adj'!AA33</f>
        <v>0</v>
      </c>
      <c r="AB33" s="79">
        <f>'Restating Adj'!AB33+'Pro Forma Adj'!AB33</f>
        <v>0</v>
      </c>
      <c r="AC33" s="80">
        <f>'Restating Adj'!AC33+'Pro Forma Adj'!AC33</f>
        <v>902861.92337409535</v>
      </c>
      <c r="AD33" s="30">
        <f>'Restating Adj'!AD33+'Pro Forma Adj'!AD33</f>
        <v>-350879.53362716793</v>
      </c>
      <c r="AE33" s="80">
        <f>'Restating Adj'!AE33+'Pro Forma Adj'!AE33</f>
        <v>-449809.29</v>
      </c>
      <c r="AF33" s="30">
        <f>'Restating Adj'!AF33+'Pro Forma Adj'!AF33</f>
        <v>-14008794.664235296</v>
      </c>
      <c r="AG33" s="79">
        <f>'Restating Adj'!AG33+'Pro Forma Adj'!AG33</f>
        <v>0</v>
      </c>
      <c r="AH33" s="79">
        <f>'Restating Adj'!AH33+'Pro Forma Adj'!AH33</f>
        <v>-115264.60668345177</v>
      </c>
      <c r="AI33" s="79">
        <f>'Restating Adj'!AI33+'Pro Forma Adj'!AI33</f>
        <v>0</v>
      </c>
      <c r="AJ33" s="79">
        <f>'Restating Adj'!AJ33+'Pro Forma Adj'!AJ33</f>
        <v>52578.96</v>
      </c>
      <c r="AK33" s="80">
        <f>'Restating Adj'!AK33+'Pro Forma Adj'!AK33</f>
        <v>970.25057353796319</v>
      </c>
      <c r="AL33" s="30">
        <f>'Restating Adj'!AL33+'Pro Forma Adj'!AL33</f>
        <v>694.68</v>
      </c>
      <c r="AM33" s="79">
        <f>'Restating Adj'!AM33+'Pro Forma Adj'!AM33</f>
        <v>-37886.646767481325</v>
      </c>
      <c r="AN33" s="79">
        <f>'Restating Adj'!AN33+'Pro Forma Adj'!AN33</f>
        <v>0</v>
      </c>
      <c r="AO33" s="80">
        <f>'Restating Adj'!AO33+'Pro Forma Adj'!AO33</f>
        <v>-7169232.518736993</v>
      </c>
      <c r="AP33" s="30">
        <f>'Restating Adj'!AP33+'Pro Forma Adj'!AP33</f>
        <v>0</v>
      </c>
      <c r="AQ33" s="80">
        <f>'Restating Adj'!AQ33+'Pro Forma Adj'!AQ33</f>
        <v>4677214.6554000061</v>
      </c>
      <c r="AR33" s="30">
        <f>'Restating Adj'!AR33+'Pro Forma Adj'!AR33</f>
        <v>0</v>
      </c>
      <c r="AS33" s="79">
        <f>'Restating Adj'!AS33+'Pro Forma Adj'!AS33</f>
        <v>-1361212.8806226542</v>
      </c>
      <c r="AT33" s="79">
        <f>'Restating Adj'!AT33+'Pro Forma Adj'!AT33</f>
        <v>0</v>
      </c>
      <c r="AU33" s="79">
        <f>'Restating Adj'!AU33+'Pro Forma Adj'!AU33</f>
        <v>0</v>
      </c>
      <c r="AV33" s="79">
        <f>'Restating Adj'!AV33+'Pro Forma Adj'!AV33</f>
        <v>-12688.116</v>
      </c>
      <c r="AW33" s="80">
        <f>'Restating Adj'!AW33+'Pro Forma Adj'!AW33</f>
        <v>0</v>
      </c>
      <c r="AX33" s="30">
        <f>'Restating Adj'!AX33+'Pro Forma Adj'!AX33</f>
        <v>0</v>
      </c>
      <c r="AY33" s="79">
        <f>'Restating Adj'!AY33+'Pro Forma Adj'!AY33</f>
        <v>0</v>
      </c>
      <c r="AZ33" s="79">
        <f>'Restating Adj'!AZ33+'Pro Forma Adj'!AZ33</f>
        <v>0</v>
      </c>
      <c r="BA33" s="79">
        <f>'Restating Adj'!BA33+'Pro Forma Adj'!BA33</f>
        <v>-572737.37284922577</v>
      </c>
      <c r="BB33" s="79">
        <f>'Restating Adj'!BB33+'Pro Forma Adj'!BB33</f>
        <v>-6192883.5842673071</v>
      </c>
      <c r="BC33" s="80">
        <f>'Restating Adj'!BC33+'Pro Forma Adj'!BC33</f>
        <v>0</v>
      </c>
      <c r="BD33" s="30">
        <f>'Restating Adj'!BD33+'Pro Forma Adj'!BD33</f>
        <v>641418.75891302247</v>
      </c>
      <c r="BE33" s="79">
        <f>'Restating Adj'!BE33+'Pro Forma Adj'!BE33</f>
        <v>1370336.1022367645</v>
      </c>
      <c r="BF33" s="79">
        <f>'Restating Adj'!BF33+'Pro Forma Adj'!BF33</f>
        <v>-82481.96369787147</v>
      </c>
      <c r="BG33" s="80">
        <f>'Restating Adj'!BG33+'Pro Forma Adj'!BG33</f>
        <v>48418.78732695034</v>
      </c>
    </row>
    <row r="34" spans="1:59" x14ac:dyDescent="0.2">
      <c r="A34" s="14" t="s">
        <v>67</v>
      </c>
      <c r="B34" s="29">
        <f t="shared" si="10"/>
        <v>0</v>
      </c>
      <c r="C34" s="29">
        <f>'Restating Adj'!C34+'Pro Forma Adj'!C34</f>
        <v>0</v>
      </c>
      <c r="D34" s="77">
        <f>'Restating Adj'!D34+'Pro Forma Adj'!D34</f>
        <v>0</v>
      </c>
      <c r="E34" s="77">
        <f>'Restating Adj'!E34+'Pro Forma Adj'!E34</f>
        <v>0</v>
      </c>
      <c r="F34" s="78">
        <f>'Restating Adj'!F34+'Pro Forma Adj'!F34</f>
        <v>0</v>
      </c>
      <c r="G34" s="87">
        <f>'Restating Adj'!G34+'Pro Forma Adj'!G34</f>
        <v>0</v>
      </c>
      <c r="H34" s="29">
        <f>'Restating Adj'!H34+'Pro Forma Adj'!H34</f>
        <v>0</v>
      </c>
      <c r="I34" s="77">
        <f>'Restating Adj'!I34+'Pro Forma Adj'!I34</f>
        <v>0</v>
      </c>
      <c r="J34" s="77">
        <f>'Restating Adj'!J34+'Pro Forma Adj'!J34</f>
        <v>0</v>
      </c>
      <c r="K34" s="77">
        <f>'Restating Adj'!K34+'Pro Forma Adj'!K34</f>
        <v>0</v>
      </c>
      <c r="L34" s="77">
        <f>'Restating Adj'!L34+'Pro Forma Adj'!L34</f>
        <v>0</v>
      </c>
      <c r="M34" s="78">
        <f>'Restating Adj'!M34+'Pro Forma Adj'!M34</f>
        <v>0</v>
      </c>
      <c r="N34" s="29">
        <f>'Restating Adj'!N34+'Pro Forma Adj'!N34</f>
        <v>0</v>
      </c>
      <c r="O34" s="77">
        <f>'Restating Adj'!O34+'Pro Forma Adj'!O34</f>
        <v>0</v>
      </c>
      <c r="P34" s="77">
        <f>'Restating Adj'!P34+'Pro Forma Adj'!P34</f>
        <v>0</v>
      </c>
      <c r="Q34" s="77">
        <f>'Restating Adj'!Q34+'Pro Forma Adj'!Q34</f>
        <v>0</v>
      </c>
      <c r="R34" s="77">
        <f>'Restating Adj'!R34+'Pro Forma Adj'!R34</f>
        <v>0</v>
      </c>
      <c r="S34" s="78">
        <f>'Restating Adj'!S34+'Pro Forma Adj'!S34</f>
        <v>0</v>
      </c>
      <c r="T34" s="29">
        <f>'Restating Adj'!T34+'Pro Forma Adj'!T34</f>
        <v>0</v>
      </c>
      <c r="U34" s="77">
        <f>'Restating Adj'!U34+'Pro Forma Adj'!U34</f>
        <v>0</v>
      </c>
      <c r="V34" s="77">
        <f>'Restating Adj'!V34+'Pro Forma Adj'!V34</f>
        <v>0</v>
      </c>
      <c r="W34" s="77">
        <f>'Restating Adj'!W34+'Pro Forma Adj'!W34</f>
        <v>0</v>
      </c>
      <c r="X34" s="78">
        <f>'Restating Adj'!X34+'Pro Forma Adj'!X34</f>
        <v>0</v>
      </c>
      <c r="Y34" s="87">
        <f>'Restating Adj'!Y34+'Pro Forma Adj'!Y34</f>
        <v>0</v>
      </c>
      <c r="Z34" s="29">
        <f>'Restating Adj'!Z34+'Pro Forma Adj'!Z34</f>
        <v>0</v>
      </c>
      <c r="AA34" s="77">
        <f>'Restating Adj'!AA34+'Pro Forma Adj'!AA34</f>
        <v>0</v>
      </c>
      <c r="AB34" s="77">
        <f>'Restating Adj'!AB34+'Pro Forma Adj'!AB34</f>
        <v>0</v>
      </c>
      <c r="AC34" s="78">
        <f>'Restating Adj'!AC34+'Pro Forma Adj'!AC34</f>
        <v>0</v>
      </c>
      <c r="AD34" s="29">
        <f>'Restating Adj'!AD34+'Pro Forma Adj'!AD34</f>
        <v>0</v>
      </c>
      <c r="AE34" s="78">
        <f>'Restating Adj'!AE34+'Pro Forma Adj'!AE34</f>
        <v>0</v>
      </c>
      <c r="AF34" s="29">
        <f>'Restating Adj'!AF34+'Pro Forma Adj'!AF34</f>
        <v>0</v>
      </c>
      <c r="AG34" s="77">
        <f>'Restating Adj'!AG34+'Pro Forma Adj'!AG34</f>
        <v>0</v>
      </c>
      <c r="AH34" s="77">
        <f>'Restating Adj'!AH34+'Pro Forma Adj'!AH34</f>
        <v>0</v>
      </c>
      <c r="AI34" s="77">
        <f>'Restating Adj'!AI34+'Pro Forma Adj'!AI34</f>
        <v>0</v>
      </c>
      <c r="AJ34" s="77">
        <f>'Restating Adj'!AJ34+'Pro Forma Adj'!AJ34</f>
        <v>0</v>
      </c>
      <c r="AK34" s="78">
        <f>'Restating Adj'!AK34+'Pro Forma Adj'!AK34</f>
        <v>0</v>
      </c>
      <c r="AL34" s="29">
        <f>'Restating Adj'!AL34+'Pro Forma Adj'!AL34</f>
        <v>0</v>
      </c>
      <c r="AM34" s="77">
        <f>'Restating Adj'!AM34+'Pro Forma Adj'!AM34</f>
        <v>0</v>
      </c>
      <c r="AN34" s="77">
        <f>'Restating Adj'!AN34+'Pro Forma Adj'!AN34</f>
        <v>0</v>
      </c>
      <c r="AO34" s="78">
        <f>'Restating Adj'!AO34+'Pro Forma Adj'!AO34</f>
        <v>0</v>
      </c>
      <c r="AP34" s="29">
        <f>'Restating Adj'!AP34+'Pro Forma Adj'!AP34</f>
        <v>0</v>
      </c>
      <c r="AQ34" s="78">
        <f>'Restating Adj'!AQ34+'Pro Forma Adj'!AQ34</f>
        <v>0</v>
      </c>
      <c r="AR34" s="29">
        <f>'Restating Adj'!AR34+'Pro Forma Adj'!AR34</f>
        <v>0</v>
      </c>
      <c r="AS34" s="77">
        <f>'Restating Adj'!AS34+'Pro Forma Adj'!AS34</f>
        <v>0</v>
      </c>
      <c r="AT34" s="77">
        <f>'Restating Adj'!AT34+'Pro Forma Adj'!AT34</f>
        <v>0</v>
      </c>
      <c r="AU34" s="77">
        <f>'Restating Adj'!AU34+'Pro Forma Adj'!AU34</f>
        <v>0</v>
      </c>
      <c r="AV34" s="77">
        <f>'Restating Adj'!AV34+'Pro Forma Adj'!AV34</f>
        <v>0</v>
      </c>
      <c r="AW34" s="78">
        <f>'Restating Adj'!AW34+'Pro Forma Adj'!AW34</f>
        <v>0</v>
      </c>
      <c r="AX34" s="29">
        <f>'Restating Adj'!AX34+'Pro Forma Adj'!AX34</f>
        <v>0</v>
      </c>
      <c r="AY34" s="77">
        <f>'Restating Adj'!AY34+'Pro Forma Adj'!AY34</f>
        <v>0</v>
      </c>
      <c r="AZ34" s="77">
        <f>'Restating Adj'!AZ34+'Pro Forma Adj'!AZ34</f>
        <v>0</v>
      </c>
      <c r="BA34" s="77">
        <f>'Restating Adj'!BA34+'Pro Forma Adj'!BA34</f>
        <v>0</v>
      </c>
      <c r="BB34" s="77">
        <f>'Restating Adj'!BB34+'Pro Forma Adj'!BB34</f>
        <v>0</v>
      </c>
      <c r="BC34" s="78">
        <f>'Restating Adj'!BC34+'Pro Forma Adj'!BC34</f>
        <v>0</v>
      </c>
      <c r="BD34" s="29">
        <f>'Restating Adj'!BD34+'Pro Forma Adj'!BD34</f>
        <v>0</v>
      </c>
      <c r="BE34" s="77">
        <f>'Restating Adj'!BE34+'Pro Forma Adj'!BE34</f>
        <v>0</v>
      </c>
      <c r="BF34" s="77">
        <f>'Restating Adj'!BF34+'Pro Forma Adj'!BF34</f>
        <v>0</v>
      </c>
      <c r="BG34" s="78">
        <f>'Restating Adj'!BG34+'Pro Forma Adj'!BG34</f>
        <v>0</v>
      </c>
    </row>
    <row r="35" spans="1:59" x14ac:dyDescent="0.2">
      <c r="A35" s="14" t="s">
        <v>68</v>
      </c>
      <c r="B35" s="29">
        <f t="shared" si="10"/>
        <v>-12209731.981012277</v>
      </c>
      <c r="C35" s="30">
        <f>'Restating Adj'!C35+'Pro Forma Adj'!C35</f>
        <v>0</v>
      </c>
      <c r="D35" s="79">
        <f>'Restating Adj'!D35+'Pro Forma Adj'!D35</f>
        <v>0</v>
      </c>
      <c r="E35" s="79">
        <f>'Restating Adj'!E35+'Pro Forma Adj'!E35</f>
        <v>0</v>
      </c>
      <c r="F35" s="80">
        <f>'Restating Adj'!F35+'Pro Forma Adj'!F35</f>
        <v>0</v>
      </c>
      <c r="G35" s="275">
        <f>'Restating Adj'!G35+'Pro Forma Adj'!G35</f>
        <v>0</v>
      </c>
      <c r="H35" s="30">
        <f>'Restating Adj'!H35+'Pro Forma Adj'!H35</f>
        <v>0</v>
      </c>
      <c r="I35" s="79">
        <f>'Restating Adj'!I35+'Pro Forma Adj'!I35</f>
        <v>0</v>
      </c>
      <c r="J35" s="79">
        <f>'Restating Adj'!J35+'Pro Forma Adj'!J35</f>
        <v>0</v>
      </c>
      <c r="K35" s="79">
        <f>'Restating Adj'!K35+'Pro Forma Adj'!K35</f>
        <v>0</v>
      </c>
      <c r="L35" s="79">
        <f>'Restating Adj'!L35+'Pro Forma Adj'!L35</f>
        <v>0</v>
      </c>
      <c r="M35" s="80">
        <f>'Restating Adj'!M35+'Pro Forma Adj'!M35</f>
        <v>0</v>
      </c>
      <c r="N35" s="30">
        <f>'Restating Adj'!N35+'Pro Forma Adj'!N35</f>
        <v>0</v>
      </c>
      <c r="O35" s="79">
        <f>'Restating Adj'!O35+'Pro Forma Adj'!O35</f>
        <v>0</v>
      </c>
      <c r="P35" s="79">
        <f>'Restating Adj'!P35+'Pro Forma Adj'!P35</f>
        <v>0</v>
      </c>
      <c r="Q35" s="79">
        <f>'Restating Adj'!Q35+'Pro Forma Adj'!Q35</f>
        <v>1974.7413444922713</v>
      </c>
      <c r="R35" s="79">
        <f>'Restating Adj'!R35+'Pro Forma Adj'!R35</f>
        <v>0</v>
      </c>
      <c r="S35" s="80">
        <f>'Restating Adj'!S35+'Pro Forma Adj'!S35</f>
        <v>0</v>
      </c>
      <c r="T35" s="30">
        <f>'Restating Adj'!T35+'Pro Forma Adj'!T35</f>
        <v>0</v>
      </c>
      <c r="U35" s="79">
        <f>'Restating Adj'!U35+'Pro Forma Adj'!U35</f>
        <v>0</v>
      </c>
      <c r="V35" s="79">
        <f>'Restating Adj'!V35+'Pro Forma Adj'!V35</f>
        <v>82991.056256507218</v>
      </c>
      <c r="W35" s="79">
        <f>'Restating Adj'!W35+'Pro Forma Adj'!W35</f>
        <v>0</v>
      </c>
      <c r="X35" s="80">
        <f>'Restating Adj'!X35+'Pro Forma Adj'!X35</f>
        <v>25422.566311240989</v>
      </c>
      <c r="Y35" s="275">
        <f>'Restating Adj'!Y35+'Pro Forma Adj'!Y35</f>
        <v>0</v>
      </c>
      <c r="Z35" s="30">
        <f>'Restating Adj'!Z35+'Pro Forma Adj'!Z35</f>
        <v>0</v>
      </c>
      <c r="AA35" s="79">
        <f>'Restating Adj'!AA35+'Pro Forma Adj'!AA35</f>
        <v>0</v>
      </c>
      <c r="AB35" s="79">
        <f>'Restating Adj'!AB35+'Pro Forma Adj'!AB35</f>
        <v>-21978152.387574442</v>
      </c>
      <c r="AC35" s="80">
        <f>'Restating Adj'!AC35+'Pro Forma Adj'!AC35</f>
        <v>-1714779.4248410386</v>
      </c>
      <c r="AD35" s="30">
        <f>'Restating Adj'!AD35+'Pro Forma Adj'!AD35</f>
        <v>0</v>
      </c>
      <c r="AE35" s="80">
        <f>'Restating Adj'!AE35+'Pro Forma Adj'!AE35</f>
        <v>0</v>
      </c>
      <c r="AF35" s="30">
        <f>'Restating Adj'!AF35+'Pro Forma Adj'!AF35</f>
        <v>0</v>
      </c>
      <c r="AG35" s="79">
        <f>'Restating Adj'!AG35+'Pro Forma Adj'!AG35</f>
        <v>0</v>
      </c>
      <c r="AH35" s="79">
        <f>'Restating Adj'!AH35+'Pro Forma Adj'!AH35</f>
        <v>0</v>
      </c>
      <c r="AI35" s="79">
        <f>'Restating Adj'!AI35+'Pro Forma Adj'!AI35</f>
        <v>2152429</v>
      </c>
      <c r="AJ35" s="79">
        <f>'Restating Adj'!AJ35+'Pro Forma Adj'!AJ35</f>
        <v>0</v>
      </c>
      <c r="AK35" s="80">
        <f>'Restating Adj'!AK35+'Pro Forma Adj'!AK35</f>
        <v>0</v>
      </c>
      <c r="AL35" s="30">
        <f>'Restating Adj'!AL35+'Pro Forma Adj'!AL35</f>
        <v>0</v>
      </c>
      <c r="AM35" s="79">
        <f>'Restating Adj'!AM35+'Pro Forma Adj'!AM35</f>
        <v>0</v>
      </c>
      <c r="AN35" s="79">
        <f>'Restating Adj'!AN35+'Pro Forma Adj'!AN35</f>
        <v>-4996016.26</v>
      </c>
      <c r="AO35" s="80">
        <f>'Restating Adj'!AO35+'Pro Forma Adj'!AO35</f>
        <v>10046316.923248233</v>
      </c>
      <c r="AP35" s="30">
        <f>'Restating Adj'!AP35+'Pro Forma Adj'!AP35</f>
        <v>0</v>
      </c>
      <c r="AQ35" s="80">
        <f>'Restating Adj'!AQ35+'Pro Forma Adj'!AQ35</f>
        <v>-1347243</v>
      </c>
      <c r="AR35" s="30">
        <f>'Restating Adj'!AR35+'Pro Forma Adj'!AR35</f>
        <v>0</v>
      </c>
      <c r="AS35" s="79">
        <f>'Restating Adj'!AS35+'Pro Forma Adj'!AS35</f>
        <v>1593693.0263653733</v>
      </c>
      <c r="AT35" s="79">
        <f>'Restating Adj'!AT35+'Pro Forma Adj'!AT35</f>
        <v>0</v>
      </c>
      <c r="AU35" s="79">
        <f>'Restating Adj'!AU35+'Pro Forma Adj'!AU35</f>
        <v>0</v>
      </c>
      <c r="AV35" s="79">
        <f>'Restating Adj'!AV35+'Pro Forma Adj'!AV35</f>
        <v>0</v>
      </c>
      <c r="AW35" s="80">
        <f>'Restating Adj'!AW35+'Pro Forma Adj'!AW35</f>
        <v>0</v>
      </c>
      <c r="AX35" s="30">
        <f>'Restating Adj'!AX35+'Pro Forma Adj'!AX35</f>
        <v>0</v>
      </c>
      <c r="AY35" s="79">
        <f>'Restating Adj'!AY35+'Pro Forma Adj'!AY35</f>
        <v>0</v>
      </c>
      <c r="AZ35" s="79">
        <f>'Restating Adj'!AZ35+'Pro Forma Adj'!AZ35</f>
        <v>0</v>
      </c>
      <c r="BA35" s="79">
        <f>'Restating Adj'!BA35+'Pro Forma Adj'!BA35</f>
        <v>771191.56151604699</v>
      </c>
      <c r="BB35" s="79">
        <f>'Restating Adj'!BB35+'Pro Forma Adj'!BB35</f>
        <v>6812143.2726308564</v>
      </c>
      <c r="BC35" s="80">
        <f>'Restating Adj'!BC35+'Pro Forma Adj'!BC35</f>
        <v>-3200471.6391372676</v>
      </c>
      <c r="BD35" s="30">
        <f>'Restating Adj'!BD35+'Pro Forma Adj'!BD35</f>
        <v>-184278.39708066365</v>
      </c>
      <c r="BE35" s="79">
        <f>'Restating Adj'!BE35+'Pro Forma Adj'!BE35</f>
        <v>-334312.1768930832</v>
      </c>
      <c r="BF35" s="79">
        <f>'Restating Adj'!BF35+'Pro Forma Adj'!BF35</f>
        <v>59359.156841469601</v>
      </c>
      <c r="BG35" s="80">
        <f>'Restating Adj'!BG35+'Pro Forma Adj'!BG35</f>
        <v>0</v>
      </c>
    </row>
    <row r="36" spans="1:59" ht="11.25" customHeight="1" x14ac:dyDescent="0.2">
      <c r="A36" s="14" t="s">
        <v>69</v>
      </c>
      <c r="B36" s="29">
        <f t="shared" si="10"/>
        <v>0</v>
      </c>
      <c r="C36" s="30">
        <f>'Restating Adj'!C36+'Pro Forma Adj'!C36</f>
        <v>0</v>
      </c>
      <c r="D36" s="79">
        <f>'Restating Adj'!D36+'Pro Forma Adj'!D36</f>
        <v>0</v>
      </c>
      <c r="E36" s="79">
        <f>'Restating Adj'!E36+'Pro Forma Adj'!E36</f>
        <v>0</v>
      </c>
      <c r="F36" s="80">
        <f>'Restating Adj'!F36+'Pro Forma Adj'!F36</f>
        <v>0</v>
      </c>
      <c r="G36" s="275">
        <f>'Restating Adj'!G36+'Pro Forma Adj'!G36</f>
        <v>0</v>
      </c>
      <c r="H36" s="30">
        <f>'Restating Adj'!H36+'Pro Forma Adj'!H36</f>
        <v>0</v>
      </c>
      <c r="I36" s="79">
        <f>'Restating Adj'!I36+'Pro Forma Adj'!I36</f>
        <v>0</v>
      </c>
      <c r="J36" s="79">
        <f>'Restating Adj'!J36+'Pro Forma Adj'!J36</f>
        <v>0</v>
      </c>
      <c r="K36" s="79">
        <f>'Restating Adj'!K36+'Pro Forma Adj'!K36</f>
        <v>0</v>
      </c>
      <c r="L36" s="79">
        <f>'Restating Adj'!L36+'Pro Forma Adj'!L36</f>
        <v>0</v>
      </c>
      <c r="M36" s="80">
        <f>'Restating Adj'!M36+'Pro Forma Adj'!M36</f>
        <v>0</v>
      </c>
      <c r="N36" s="30">
        <f>'Restating Adj'!N36+'Pro Forma Adj'!N36</f>
        <v>0</v>
      </c>
      <c r="O36" s="79">
        <f>'Restating Adj'!O36+'Pro Forma Adj'!O36</f>
        <v>0</v>
      </c>
      <c r="P36" s="79">
        <f>'Restating Adj'!P36+'Pro Forma Adj'!P36</f>
        <v>0</v>
      </c>
      <c r="Q36" s="79">
        <f>'Restating Adj'!Q36+'Pro Forma Adj'!Q36</f>
        <v>0</v>
      </c>
      <c r="R36" s="79">
        <f>'Restating Adj'!R36+'Pro Forma Adj'!R36</f>
        <v>0</v>
      </c>
      <c r="S36" s="80">
        <f>'Restating Adj'!S36+'Pro Forma Adj'!S36</f>
        <v>0</v>
      </c>
      <c r="T36" s="30">
        <f>'Restating Adj'!T36+'Pro Forma Adj'!T36</f>
        <v>0</v>
      </c>
      <c r="U36" s="79">
        <f>'Restating Adj'!U36+'Pro Forma Adj'!U36</f>
        <v>0</v>
      </c>
      <c r="V36" s="79">
        <f>'Restating Adj'!V36+'Pro Forma Adj'!V36</f>
        <v>0</v>
      </c>
      <c r="W36" s="79">
        <f>'Restating Adj'!W36+'Pro Forma Adj'!W36</f>
        <v>0</v>
      </c>
      <c r="X36" s="80">
        <f>'Restating Adj'!X36+'Pro Forma Adj'!X36</f>
        <v>0</v>
      </c>
      <c r="Y36" s="275">
        <f>'Restating Adj'!Y36+'Pro Forma Adj'!Y36</f>
        <v>0</v>
      </c>
      <c r="Z36" s="30">
        <f>'Restating Adj'!Z36+'Pro Forma Adj'!Z36</f>
        <v>0</v>
      </c>
      <c r="AA36" s="79">
        <f>'Restating Adj'!AA36+'Pro Forma Adj'!AA36</f>
        <v>0</v>
      </c>
      <c r="AB36" s="79">
        <f>'Restating Adj'!AB36+'Pro Forma Adj'!AB36</f>
        <v>0</v>
      </c>
      <c r="AC36" s="80">
        <f>'Restating Adj'!AC36+'Pro Forma Adj'!AC36</f>
        <v>0</v>
      </c>
      <c r="AD36" s="30">
        <f>'Restating Adj'!AD36+'Pro Forma Adj'!AD36</f>
        <v>0</v>
      </c>
      <c r="AE36" s="80">
        <f>'Restating Adj'!AE36+'Pro Forma Adj'!AE36</f>
        <v>0</v>
      </c>
      <c r="AF36" s="30">
        <f>'Restating Adj'!AF36+'Pro Forma Adj'!AF36</f>
        <v>0</v>
      </c>
      <c r="AG36" s="79">
        <f>'Restating Adj'!AG36+'Pro Forma Adj'!AG36</f>
        <v>0</v>
      </c>
      <c r="AH36" s="79">
        <f>'Restating Adj'!AH36+'Pro Forma Adj'!AH36</f>
        <v>0</v>
      </c>
      <c r="AI36" s="79">
        <f>'Restating Adj'!AI36+'Pro Forma Adj'!AI36</f>
        <v>0</v>
      </c>
      <c r="AJ36" s="79">
        <f>'Restating Adj'!AJ36+'Pro Forma Adj'!AJ36</f>
        <v>0</v>
      </c>
      <c r="AK36" s="80">
        <f>'Restating Adj'!AK36+'Pro Forma Adj'!AK36</f>
        <v>0</v>
      </c>
      <c r="AL36" s="30">
        <f>'Restating Adj'!AL36+'Pro Forma Adj'!AL36</f>
        <v>0</v>
      </c>
      <c r="AM36" s="79">
        <f>'Restating Adj'!AM36+'Pro Forma Adj'!AM36</f>
        <v>0</v>
      </c>
      <c r="AN36" s="79">
        <f>'Restating Adj'!AN36+'Pro Forma Adj'!AN36</f>
        <v>0</v>
      </c>
      <c r="AO36" s="80">
        <f>'Restating Adj'!AO36+'Pro Forma Adj'!AO36</f>
        <v>0</v>
      </c>
      <c r="AP36" s="30">
        <f>'Restating Adj'!AP36+'Pro Forma Adj'!AP36</f>
        <v>0</v>
      </c>
      <c r="AQ36" s="80">
        <f>'Restating Adj'!AQ36+'Pro Forma Adj'!AQ36</f>
        <v>0</v>
      </c>
      <c r="AR36" s="30">
        <f>'Restating Adj'!AR36+'Pro Forma Adj'!AR36</f>
        <v>0</v>
      </c>
      <c r="AS36" s="79">
        <f>'Restating Adj'!AS36+'Pro Forma Adj'!AS36</f>
        <v>0</v>
      </c>
      <c r="AT36" s="79">
        <f>'Restating Adj'!AT36+'Pro Forma Adj'!AT36</f>
        <v>0</v>
      </c>
      <c r="AU36" s="79">
        <f>'Restating Adj'!AU36+'Pro Forma Adj'!AU36</f>
        <v>0</v>
      </c>
      <c r="AV36" s="79">
        <f>'Restating Adj'!AV36+'Pro Forma Adj'!AV36</f>
        <v>0</v>
      </c>
      <c r="AW36" s="80">
        <f>'Restating Adj'!AW36+'Pro Forma Adj'!AW36</f>
        <v>0</v>
      </c>
      <c r="AX36" s="30">
        <f>'Restating Adj'!AX36+'Pro Forma Adj'!AX36</f>
        <v>0</v>
      </c>
      <c r="AY36" s="79">
        <f>'Restating Adj'!AY36+'Pro Forma Adj'!AY36</f>
        <v>0</v>
      </c>
      <c r="AZ36" s="79">
        <f>'Restating Adj'!AZ36+'Pro Forma Adj'!AZ36</f>
        <v>0</v>
      </c>
      <c r="BA36" s="79">
        <f>'Restating Adj'!BA36+'Pro Forma Adj'!BA36</f>
        <v>0</v>
      </c>
      <c r="BB36" s="79">
        <f>'Restating Adj'!BB36+'Pro Forma Adj'!BB36</f>
        <v>0</v>
      </c>
      <c r="BC36" s="80">
        <f>'Restating Adj'!BC36+'Pro Forma Adj'!BC36</f>
        <v>0</v>
      </c>
      <c r="BD36" s="30">
        <f>'Restating Adj'!BD36+'Pro Forma Adj'!BD36</f>
        <v>0</v>
      </c>
      <c r="BE36" s="79">
        <f>'Restating Adj'!BE36+'Pro Forma Adj'!BE36</f>
        <v>0</v>
      </c>
      <c r="BF36" s="79">
        <f>'Restating Adj'!BF36+'Pro Forma Adj'!BF36</f>
        <v>0</v>
      </c>
      <c r="BG36" s="80">
        <f>'Restating Adj'!BG36+'Pro Forma Adj'!BG36</f>
        <v>0</v>
      </c>
    </row>
    <row r="37" spans="1:59" x14ac:dyDescent="0.2">
      <c r="A37" s="14" t="s">
        <v>70</v>
      </c>
      <c r="B37" s="29">
        <f t="shared" si="10"/>
        <v>325568.89931887086</v>
      </c>
      <c r="C37" s="30">
        <f>'Restating Adj'!C37+'Pro Forma Adj'!C37</f>
        <v>0</v>
      </c>
      <c r="D37" s="79">
        <f>'Restating Adj'!D37+'Pro Forma Adj'!D37</f>
        <v>0</v>
      </c>
      <c r="E37" s="79">
        <f>'Restating Adj'!E37+'Pro Forma Adj'!E37</f>
        <v>0</v>
      </c>
      <c r="F37" s="80">
        <f>'Restating Adj'!F37+'Pro Forma Adj'!F37</f>
        <v>0</v>
      </c>
      <c r="G37" s="275">
        <f>'Restating Adj'!G37+'Pro Forma Adj'!G37</f>
        <v>265149.29931887088</v>
      </c>
      <c r="H37" s="30">
        <f>'Restating Adj'!H37+'Pro Forma Adj'!H37</f>
        <v>0</v>
      </c>
      <c r="I37" s="79">
        <f>'Restating Adj'!I37+'Pro Forma Adj'!I37</f>
        <v>0</v>
      </c>
      <c r="J37" s="79">
        <f>'Restating Adj'!J37+'Pro Forma Adj'!J37</f>
        <v>0</v>
      </c>
      <c r="K37" s="79">
        <f>'Restating Adj'!K37+'Pro Forma Adj'!K37</f>
        <v>0</v>
      </c>
      <c r="L37" s="79">
        <f>'Restating Adj'!L37+'Pro Forma Adj'!L37</f>
        <v>0</v>
      </c>
      <c r="M37" s="80">
        <f>'Restating Adj'!M37+'Pro Forma Adj'!M37</f>
        <v>0</v>
      </c>
      <c r="N37" s="30">
        <f>'Restating Adj'!N37+'Pro Forma Adj'!N37</f>
        <v>0</v>
      </c>
      <c r="O37" s="79">
        <f>'Restating Adj'!O37+'Pro Forma Adj'!O37</f>
        <v>0</v>
      </c>
      <c r="P37" s="79">
        <f>'Restating Adj'!P37+'Pro Forma Adj'!P37</f>
        <v>0</v>
      </c>
      <c r="Q37" s="79">
        <f>'Restating Adj'!Q37+'Pro Forma Adj'!Q37</f>
        <v>0</v>
      </c>
      <c r="R37" s="79">
        <f>'Restating Adj'!R37+'Pro Forma Adj'!R37</f>
        <v>0</v>
      </c>
      <c r="S37" s="80">
        <f>'Restating Adj'!S37+'Pro Forma Adj'!S37</f>
        <v>0</v>
      </c>
      <c r="T37" s="30">
        <f>'Restating Adj'!T37+'Pro Forma Adj'!T37</f>
        <v>0</v>
      </c>
      <c r="U37" s="79">
        <f>'Restating Adj'!U37+'Pro Forma Adj'!U37</f>
        <v>0</v>
      </c>
      <c r="V37" s="79">
        <f>'Restating Adj'!V37+'Pro Forma Adj'!V37</f>
        <v>0</v>
      </c>
      <c r="W37" s="79">
        <f>'Restating Adj'!W37+'Pro Forma Adj'!W37</f>
        <v>0</v>
      </c>
      <c r="X37" s="80">
        <f>'Restating Adj'!X37+'Pro Forma Adj'!X37</f>
        <v>0</v>
      </c>
      <c r="Y37" s="275">
        <f>'Restating Adj'!Y37+'Pro Forma Adj'!Y37</f>
        <v>0</v>
      </c>
      <c r="Z37" s="30">
        <f>'Restating Adj'!Z37+'Pro Forma Adj'!Z37</f>
        <v>0</v>
      </c>
      <c r="AA37" s="79">
        <f>'Restating Adj'!AA37+'Pro Forma Adj'!AA37</f>
        <v>0</v>
      </c>
      <c r="AB37" s="79">
        <f>'Restating Adj'!AB37+'Pro Forma Adj'!AB37</f>
        <v>0</v>
      </c>
      <c r="AC37" s="80">
        <f>'Restating Adj'!AC37+'Pro Forma Adj'!AC37</f>
        <v>0</v>
      </c>
      <c r="AD37" s="30">
        <f>'Restating Adj'!AD37+'Pro Forma Adj'!AD37</f>
        <v>0</v>
      </c>
      <c r="AE37" s="80">
        <f>'Restating Adj'!AE37+'Pro Forma Adj'!AE37</f>
        <v>0</v>
      </c>
      <c r="AF37" s="30">
        <f>'Restating Adj'!AF37+'Pro Forma Adj'!AF37</f>
        <v>0</v>
      </c>
      <c r="AG37" s="79">
        <f>'Restating Adj'!AG37+'Pro Forma Adj'!AG37</f>
        <v>0</v>
      </c>
      <c r="AH37" s="79">
        <f>'Restating Adj'!AH37+'Pro Forma Adj'!AH37</f>
        <v>0</v>
      </c>
      <c r="AI37" s="79">
        <f>'Restating Adj'!AI37+'Pro Forma Adj'!AI37</f>
        <v>0</v>
      </c>
      <c r="AJ37" s="79">
        <f>'Restating Adj'!AJ37+'Pro Forma Adj'!AJ37</f>
        <v>0</v>
      </c>
      <c r="AK37" s="80">
        <f>'Restating Adj'!AK37+'Pro Forma Adj'!AK37</f>
        <v>0</v>
      </c>
      <c r="AL37" s="30">
        <f>'Restating Adj'!AL37+'Pro Forma Adj'!AL37</f>
        <v>0</v>
      </c>
      <c r="AM37" s="79">
        <f>'Restating Adj'!AM37+'Pro Forma Adj'!AM37</f>
        <v>0</v>
      </c>
      <c r="AN37" s="79">
        <f>'Restating Adj'!AN37+'Pro Forma Adj'!AN37</f>
        <v>0</v>
      </c>
      <c r="AO37" s="80">
        <f>'Restating Adj'!AO37+'Pro Forma Adj'!AO37</f>
        <v>0</v>
      </c>
      <c r="AP37" s="30">
        <f>'Restating Adj'!AP37+'Pro Forma Adj'!AP37</f>
        <v>0</v>
      </c>
      <c r="AQ37" s="80">
        <f>'Restating Adj'!AQ37+'Pro Forma Adj'!AQ37</f>
        <v>0</v>
      </c>
      <c r="AR37" s="30">
        <f>'Restating Adj'!AR37+'Pro Forma Adj'!AR37</f>
        <v>0</v>
      </c>
      <c r="AS37" s="79">
        <f>'Restating Adj'!AS37+'Pro Forma Adj'!AS37</f>
        <v>0</v>
      </c>
      <c r="AT37" s="79">
        <f>'Restating Adj'!AT37+'Pro Forma Adj'!AT37</f>
        <v>0</v>
      </c>
      <c r="AU37" s="79">
        <f>'Restating Adj'!AU37+'Pro Forma Adj'!AU37</f>
        <v>0</v>
      </c>
      <c r="AV37" s="79">
        <f>'Restating Adj'!AV37+'Pro Forma Adj'!AV37</f>
        <v>60419.600000000006</v>
      </c>
      <c r="AW37" s="80">
        <f>'Restating Adj'!AW37+'Pro Forma Adj'!AW37</f>
        <v>0</v>
      </c>
      <c r="AX37" s="30">
        <f>'Restating Adj'!AX37+'Pro Forma Adj'!AX37</f>
        <v>0</v>
      </c>
      <c r="AY37" s="79">
        <f>'Restating Adj'!AY37+'Pro Forma Adj'!AY37</f>
        <v>0</v>
      </c>
      <c r="AZ37" s="79">
        <f>'Restating Adj'!AZ37+'Pro Forma Adj'!AZ37</f>
        <v>0</v>
      </c>
      <c r="BA37" s="79">
        <f>'Restating Adj'!BA37+'Pro Forma Adj'!BA37</f>
        <v>0</v>
      </c>
      <c r="BB37" s="79">
        <f>'Restating Adj'!BB37+'Pro Forma Adj'!BB37</f>
        <v>0</v>
      </c>
      <c r="BC37" s="80">
        <f>'Restating Adj'!BC37+'Pro Forma Adj'!BC37</f>
        <v>0</v>
      </c>
      <c r="BD37" s="30">
        <f>'Restating Adj'!BD37+'Pro Forma Adj'!BD37</f>
        <v>0</v>
      </c>
      <c r="BE37" s="79">
        <f>'Restating Adj'!BE37+'Pro Forma Adj'!BE37</f>
        <v>0</v>
      </c>
      <c r="BF37" s="79">
        <f>'Restating Adj'!BF37+'Pro Forma Adj'!BF37</f>
        <v>0</v>
      </c>
      <c r="BG37" s="80">
        <f>'Restating Adj'!BG37+'Pro Forma Adj'!BG37</f>
        <v>0</v>
      </c>
    </row>
    <row r="38" spans="1:59" x14ac:dyDescent="0.2">
      <c r="A38" s="14" t="s">
        <v>71</v>
      </c>
      <c r="B38" s="31">
        <f t="shared" si="10"/>
        <v>36438659.158120893</v>
      </c>
      <c r="C38" s="31">
        <f>SUM(C29:C37)</f>
        <v>-1357438.9373999999</v>
      </c>
      <c r="D38" s="81">
        <f t="shared" ref="D38:AS38" si="20">SUM(D29:D37)</f>
        <v>6157493.3302624086</v>
      </c>
      <c r="E38" s="81">
        <f t="shared" si="20"/>
        <v>13026.83751075797</v>
      </c>
      <c r="F38" s="82">
        <f t="shared" si="20"/>
        <v>95888.29506480429</v>
      </c>
      <c r="G38" s="151">
        <f t="shared" si="20"/>
        <v>-166706.21383796388</v>
      </c>
      <c r="H38" s="31">
        <f t="shared" si="20"/>
        <v>140580.44927912476</v>
      </c>
      <c r="I38" s="81">
        <f t="shared" si="20"/>
        <v>1004902.1933376188</v>
      </c>
      <c r="J38" s="81">
        <f t="shared" si="20"/>
        <v>-431317.01073983655</v>
      </c>
      <c r="K38" s="81">
        <f t="shared" si="20"/>
        <v>-10270.60809163968</v>
      </c>
      <c r="L38" s="81">
        <f t="shared" si="20"/>
        <v>12541.604483466414</v>
      </c>
      <c r="M38" s="82">
        <f t="shared" si="20"/>
        <v>49184.515258546809</v>
      </c>
      <c r="N38" s="31">
        <f t="shared" si="20"/>
        <v>30760.944884667053</v>
      </c>
      <c r="O38" s="81">
        <f t="shared" si="20"/>
        <v>603548.07646650448</v>
      </c>
      <c r="P38" s="81">
        <f t="shared" si="20"/>
        <v>-52962.783300000003</v>
      </c>
      <c r="Q38" s="81">
        <f t="shared" si="20"/>
        <v>346607.33541061811</v>
      </c>
      <c r="R38" s="81">
        <f t="shared" si="20"/>
        <v>80284.29031160046</v>
      </c>
      <c r="S38" s="82">
        <f t="shared" si="20"/>
        <v>116541.73817039606</v>
      </c>
      <c r="T38" s="31">
        <f t="shared" ref="T38:U38" si="21">SUM(T29:T37)</f>
        <v>-4483748.6087659458</v>
      </c>
      <c r="U38" s="81">
        <f t="shared" si="21"/>
        <v>-17382679.925093681</v>
      </c>
      <c r="V38" s="81">
        <f t="shared" ref="V38:W38" si="22">SUM(V29:V37)</f>
        <v>-433100.79308502469</v>
      </c>
      <c r="W38" s="81">
        <f t="shared" si="22"/>
        <v>126400</v>
      </c>
      <c r="X38" s="82">
        <f t="shared" ref="X38" si="23">SUM(X29:X37)</f>
        <v>35145.107831941234</v>
      </c>
      <c r="Y38" s="151">
        <f t="shared" si="20"/>
        <v>-1936993.8255180337</v>
      </c>
      <c r="Z38" s="31">
        <f t="shared" si="20"/>
        <v>0</v>
      </c>
      <c r="AA38" s="81">
        <f t="shared" si="20"/>
        <v>0</v>
      </c>
      <c r="AB38" s="81">
        <f t="shared" si="20"/>
        <v>53801050.085389219</v>
      </c>
      <c r="AC38" s="82">
        <f t="shared" ref="AC38" si="24">SUM(AC29:AC37)</f>
        <v>1863186.9613754379</v>
      </c>
      <c r="AD38" s="31">
        <f t="shared" si="20"/>
        <v>-350879.53362716793</v>
      </c>
      <c r="AE38" s="82">
        <f t="shared" si="20"/>
        <v>1692139.71</v>
      </c>
      <c r="AF38" s="31">
        <f t="shared" si="20"/>
        <v>-14008794.664235296</v>
      </c>
      <c r="AG38" s="81">
        <f t="shared" si="20"/>
        <v>0</v>
      </c>
      <c r="AH38" s="81">
        <f t="shared" si="20"/>
        <v>-115264.60668345177</v>
      </c>
      <c r="AI38" s="81">
        <f t="shared" si="20"/>
        <v>2152429</v>
      </c>
      <c r="AJ38" s="81">
        <f t="shared" si="20"/>
        <v>-197797.04</v>
      </c>
      <c r="AK38" s="82">
        <f t="shared" si="20"/>
        <v>970.25057353796319</v>
      </c>
      <c r="AL38" s="31">
        <f>SUM(AL29:AL37)</f>
        <v>-2613.3200000000002</v>
      </c>
      <c r="AM38" s="81">
        <f t="shared" ref="AM38:AO38" si="25">SUM(AM29:AM37)</f>
        <v>142525.95688719166</v>
      </c>
      <c r="AN38" s="81">
        <f t="shared" si="25"/>
        <v>-4996016.26</v>
      </c>
      <c r="AO38" s="82">
        <f t="shared" si="25"/>
        <v>2877084.4045112403</v>
      </c>
      <c r="AP38" s="31">
        <f t="shared" si="20"/>
        <v>0</v>
      </c>
      <c r="AQ38" s="82">
        <f t="shared" si="20"/>
        <v>4003022.5889639305</v>
      </c>
      <c r="AR38" s="31">
        <f t="shared" si="20"/>
        <v>0</v>
      </c>
      <c r="AS38" s="81">
        <f t="shared" si="20"/>
        <v>232480.14574271906</v>
      </c>
      <c r="AT38" s="81">
        <f t="shared" ref="AT38:BB38" si="26">SUM(AT29:AT37)</f>
        <v>0</v>
      </c>
      <c r="AU38" s="81">
        <f t="shared" si="26"/>
        <v>-208716</v>
      </c>
      <c r="AV38" s="81">
        <f t="shared" si="26"/>
        <v>47731.484000000004</v>
      </c>
      <c r="AW38" s="82">
        <f t="shared" si="26"/>
        <v>0</v>
      </c>
      <c r="AX38" s="31">
        <f t="shared" si="26"/>
        <v>0</v>
      </c>
      <c r="AY38" s="81">
        <f t="shared" si="26"/>
        <v>0</v>
      </c>
      <c r="AZ38" s="81">
        <f t="shared" si="26"/>
        <v>0</v>
      </c>
      <c r="BA38" s="81">
        <f t="shared" si="26"/>
        <v>-207428.12541090255</v>
      </c>
      <c r="BB38" s="81">
        <f t="shared" si="26"/>
        <v>2412364.1983237248</v>
      </c>
      <c r="BC38" s="82">
        <f t="shared" ref="BC38" si="27">SUM(BC29:BC37)</f>
        <v>9816674.0039235298</v>
      </c>
      <c r="BD38" s="31">
        <f t="shared" ref="BD38:BG38" si="28">SUM(BD29:BD37)</f>
        <v>-1923330.0885662776</v>
      </c>
      <c r="BE38" s="81">
        <f t="shared" si="28"/>
        <v>-4129653.7761807274</v>
      </c>
      <c r="BF38" s="81">
        <f t="shared" si="28"/>
        <v>128220.47159986952</v>
      </c>
      <c r="BG38" s="82">
        <f t="shared" si="28"/>
        <v>851587.29909399059</v>
      </c>
    </row>
    <row r="39" spans="1:59" x14ac:dyDescent="0.2">
      <c r="A39" s="14"/>
      <c r="B39" s="28">
        <f t="shared" ref="B39" si="29">SUM(C39:BB39)</f>
        <v>0</v>
      </c>
      <c r="C39" s="28"/>
      <c r="D39" s="12"/>
      <c r="E39" s="12"/>
      <c r="F39" s="75"/>
      <c r="G39" s="76"/>
      <c r="H39" s="28"/>
      <c r="I39" s="12"/>
      <c r="J39" s="12"/>
      <c r="K39" s="12"/>
      <c r="L39" s="12"/>
      <c r="M39" s="75"/>
      <c r="N39" s="28"/>
      <c r="O39" s="12"/>
      <c r="P39" s="12"/>
      <c r="Q39" s="12"/>
      <c r="R39" s="12"/>
      <c r="S39" s="75"/>
      <c r="T39" s="28"/>
      <c r="U39" s="12"/>
      <c r="V39" s="12"/>
      <c r="W39" s="12"/>
      <c r="X39" s="75"/>
      <c r="Y39" s="76"/>
      <c r="Z39" s="28"/>
      <c r="AA39" s="12"/>
      <c r="AB39" s="12"/>
      <c r="AC39" s="75"/>
      <c r="AD39" s="28"/>
      <c r="AE39" s="75"/>
      <c r="AF39" s="28"/>
      <c r="AG39" s="12"/>
      <c r="AH39" s="12"/>
      <c r="AI39" s="12"/>
      <c r="AJ39" s="12"/>
      <c r="AK39" s="75"/>
      <c r="AL39" s="28"/>
      <c r="AM39" s="12"/>
      <c r="AN39" s="12"/>
      <c r="AO39" s="75"/>
      <c r="AP39" s="28"/>
      <c r="AQ39" s="75"/>
      <c r="AR39" s="28"/>
      <c r="AS39" s="12"/>
      <c r="AT39" s="12"/>
      <c r="AU39" s="12"/>
      <c r="AV39" s="12"/>
      <c r="AW39" s="75"/>
      <c r="AX39" s="28"/>
      <c r="AY39" s="12"/>
      <c r="AZ39" s="12"/>
      <c r="BA39" s="12"/>
      <c r="BB39" s="12"/>
      <c r="BC39" s="75"/>
      <c r="BD39" s="28"/>
      <c r="BE39" s="12"/>
      <c r="BF39" s="12"/>
      <c r="BG39" s="75"/>
    </row>
    <row r="40" spans="1:59" ht="13.5" thickBot="1" x14ac:dyDescent="0.25">
      <c r="A40" s="14" t="s">
        <v>72</v>
      </c>
      <c r="B40" s="33">
        <f>SUM(C40:BG40)</f>
        <v>-10119413.636036597</v>
      </c>
      <c r="C40" s="33">
        <f t="shared" ref="C40" si="30">C16-C38</f>
        <v>-5106556.0026000002</v>
      </c>
      <c r="D40" s="88">
        <f t="shared" ref="D40:AS40" si="31">D16-D38</f>
        <v>23163903.480510969</v>
      </c>
      <c r="E40" s="88">
        <f t="shared" si="31"/>
        <v>49005.722064279988</v>
      </c>
      <c r="F40" s="89">
        <f t="shared" si="31"/>
        <v>360722.63381521613</v>
      </c>
      <c r="G40" s="152">
        <f t="shared" si="31"/>
        <v>166706.21383796388</v>
      </c>
      <c r="H40" s="33">
        <f t="shared" si="31"/>
        <v>-140580.44927912476</v>
      </c>
      <c r="I40" s="88">
        <f t="shared" si="31"/>
        <v>-1004902.1933376188</v>
      </c>
      <c r="J40" s="88">
        <f t="shared" si="31"/>
        <v>431317.01073983655</v>
      </c>
      <c r="K40" s="88">
        <f t="shared" si="31"/>
        <v>10270.60809163968</v>
      </c>
      <c r="L40" s="88">
        <f t="shared" si="31"/>
        <v>-12541.604483466414</v>
      </c>
      <c r="M40" s="89">
        <f t="shared" si="31"/>
        <v>-49184.515258546809</v>
      </c>
      <c r="N40" s="33">
        <f t="shared" si="31"/>
        <v>-30760.944884667053</v>
      </c>
      <c r="O40" s="88">
        <f t="shared" si="31"/>
        <v>-1031460.2780545783</v>
      </c>
      <c r="P40" s="88">
        <f t="shared" si="31"/>
        <v>-199240.9467</v>
      </c>
      <c r="Q40" s="88">
        <f t="shared" si="31"/>
        <v>-346607.33541061811</v>
      </c>
      <c r="R40" s="88">
        <f t="shared" si="31"/>
        <v>-80284.29031160046</v>
      </c>
      <c r="S40" s="89">
        <f t="shared" si="31"/>
        <v>-116541.73817039606</v>
      </c>
      <c r="T40" s="33">
        <f t="shared" ref="T40:U40" si="32">T16-T38</f>
        <v>4483748.6087659458</v>
      </c>
      <c r="U40" s="88">
        <f t="shared" si="32"/>
        <v>2581727.277485149</v>
      </c>
      <c r="V40" s="88">
        <f t="shared" ref="V40:W40" si="33">V16-V38</f>
        <v>433100.79308502469</v>
      </c>
      <c r="W40" s="88">
        <f t="shared" si="33"/>
        <v>-126400</v>
      </c>
      <c r="X40" s="89">
        <f t="shared" ref="X40" si="34">X16-X38</f>
        <v>-35145.107831941234</v>
      </c>
      <c r="Y40" s="152">
        <f t="shared" si="31"/>
        <v>1936993.8255180337</v>
      </c>
      <c r="Z40" s="33">
        <f t="shared" si="31"/>
        <v>0</v>
      </c>
      <c r="AA40" s="88">
        <f t="shared" si="31"/>
        <v>0</v>
      </c>
      <c r="AB40" s="88">
        <f t="shared" si="31"/>
        <v>-53801050.085389219</v>
      </c>
      <c r="AC40" s="89">
        <f t="shared" ref="AC40" si="35">AC16-AC38</f>
        <v>-1863186.9613754379</v>
      </c>
      <c r="AD40" s="33">
        <f t="shared" si="31"/>
        <v>350879.53362716793</v>
      </c>
      <c r="AE40" s="89">
        <f t="shared" si="31"/>
        <v>-1692139.71</v>
      </c>
      <c r="AF40" s="33">
        <f t="shared" si="31"/>
        <v>14008794.664235296</v>
      </c>
      <c r="AG40" s="88">
        <f t="shared" si="31"/>
        <v>0</v>
      </c>
      <c r="AH40" s="88">
        <f t="shared" si="31"/>
        <v>115264.60668345177</v>
      </c>
      <c r="AI40" s="88">
        <f t="shared" si="31"/>
        <v>-2152429</v>
      </c>
      <c r="AJ40" s="88">
        <f t="shared" si="31"/>
        <v>197797.04</v>
      </c>
      <c r="AK40" s="89">
        <f t="shared" si="31"/>
        <v>-970.25057353796319</v>
      </c>
      <c r="AL40" s="33">
        <f t="shared" si="31"/>
        <v>2613.3200000000002</v>
      </c>
      <c r="AM40" s="88">
        <f t="shared" ref="AM40:AO40" si="36">AM16-AM38</f>
        <v>-142525.95688719166</v>
      </c>
      <c r="AN40" s="88">
        <f t="shared" si="36"/>
        <v>4996016.26</v>
      </c>
      <c r="AO40" s="89">
        <f t="shared" si="36"/>
        <v>-2877084.4045112403</v>
      </c>
      <c r="AP40" s="33">
        <f t="shared" si="31"/>
        <v>0</v>
      </c>
      <c r="AQ40" s="89">
        <f t="shared" si="31"/>
        <v>13462897.911036085</v>
      </c>
      <c r="AR40" s="33">
        <f t="shared" si="31"/>
        <v>0</v>
      </c>
      <c r="AS40" s="88">
        <f t="shared" si="31"/>
        <v>-232480.14574271906</v>
      </c>
      <c r="AT40" s="88">
        <f t="shared" ref="AT40:BB40" si="37">AT16-AT38</f>
        <v>0</v>
      </c>
      <c r="AU40" s="88">
        <f t="shared" si="37"/>
        <v>208716</v>
      </c>
      <c r="AV40" s="88">
        <f t="shared" si="37"/>
        <v>-47731.484000000004</v>
      </c>
      <c r="AW40" s="89">
        <f t="shared" si="37"/>
        <v>0</v>
      </c>
      <c r="AX40" s="33">
        <f t="shared" si="37"/>
        <v>0</v>
      </c>
      <c r="AY40" s="88">
        <f t="shared" si="37"/>
        <v>0</v>
      </c>
      <c r="AZ40" s="88">
        <f t="shared" si="37"/>
        <v>0</v>
      </c>
      <c r="BA40" s="88">
        <f t="shared" si="37"/>
        <v>207428.12541090255</v>
      </c>
      <c r="BB40" s="88">
        <f t="shared" si="37"/>
        <v>-2412364.1983237248</v>
      </c>
      <c r="BC40" s="89">
        <f t="shared" ref="BC40" si="38">BC16-BC38</f>
        <v>-9816674.0039235298</v>
      </c>
      <c r="BD40" s="33">
        <f t="shared" ref="BD40:BG40" si="39">BD16-BD38</f>
        <v>1847944.1649138411</v>
      </c>
      <c r="BE40" s="88">
        <f t="shared" si="39"/>
        <v>4129653.7761807274</v>
      </c>
      <c r="BF40" s="88">
        <f t="shared" si="39"/>
        <v>-128220.47159986952</v>
      </c>
      <c r="BG40" s="89">
        <f t="shared" si="39"/>
        <v>182146.86661090842</v>
      </c>
    </row>
    <row r="41" spans="1:59" ht="13.5" thickTop="1" x14ac:dyDescent="0.2">
      <c r="A41" s="14"/>
      <c r="B41" s="28"/>
      <c r="C41" s="28"/>
      <c r="D41" s="12"/>
      <c r="E41" s="12"/>
      <c r="F41" s="75"/>
      <c r="G41" s="76"/>
      <c r="H41" s="28"/>
      <c r="I41" s="12"/>
      <c r="J41" s="12"/>
      <c r="K41" s="12"/>
      <c r="L41" s="12"/>
      <c r="M41" s="75"/>
      <c r="N41" s="28"/>
      <c r="O41" s="12"/>
      <c r="P41" s="12"/>
      <c r="Q41" s="12"/>
      <c r="R41" s="12"/>
      <c r="S41" s="75"/>
      <c r="T41" s="28"/>
      <c r="U41" s="12"/>
      <c r="V41" s="12"/>
      <c r="W41" s="12"/>
      <c r="X41" s="75"/>
      <c r="Y41" s="76"/>
      <c r="Z41" s="28"/>
      <c r="AA41" s="12"/>
      <c r="AB41" s="12"/>
      <c r="AC41" s="75"/>
      <c r="AD41" s="28"/>
      <c r="AE41" s="75"/>
      <c r="AF41" s="28"/>
      <c r="AG41" s="12"/>
      <c r="AH41" s="12"/>
      <c r="AI41" s="12"/>
      <c r="AJ41" s="12"/>
      <c r="AK41" s="75"/>
      <c r="AL41" s="28"/>
      <c r="AM41" s="12"/>
      <c r="AN41" s="12"/>
      <c r="AO41" s="75"/>
      <c r="AP41" s="28"/>
      <c r="AQ41" s="75"/>
      <c r="AR41" s="28"/>
      <c r="AS41" s="12"/>
      <c r="AT41" s="12"/>
      <c r="AU41" s="12"/>
      <c r="AV41" s="12"/>
      <c r="AW41" s="75"/>
      <c r="AX41" s="28"/>
      <c r="AY41" s="12"/>
      <c r="AZ41" s="12"/>
      <c r="BA41" s="12"/>
      <c r="BB41" s="12"/>
      <c r="BC41" s="75"/>
      <c r="BD41" s="28"/>
      <c r="BE41" s="12"/>
      <c r="BF41" s="12"/>
      <c r="BG41" s="75"/>
    </row>
    <row r="42" spans="1:59" x14ac:dyDescent="0.2">
      <c r="A42" s="14" t="s">
        <v>73</v>
      </c>
      <c r="B42" s="28">
        <f t="shared" ref="B42" si="40">SUM(C42:BB42)</f>
        <v>0</v>
      </c>
      <c r="C42" s="28"/>
      <c r="D42" s="12"/>
      <c r="E42" s="12"/>
      <c r="F42" s="75"/>
      <c r="G42" s="76"/>
      <c r="H42" s="28"/>
      <c r="I42" s="12"/>
      <c r="J42" s="12"/>
      <c r="K42" s="12"/>
      <c r="L42" s="12"/>
      <c r="M42" s="75"/>
      <c r="N42" s="28"/>
      <c r="O42" s="12"/>
      <c r="P42" s="12"/>
      <c r="Q42" s="12"/>
      <c r="R42" s="12"/>
      <c r="S42" s="75"/>
      <c r="T42" s="28"/>
      <c r="U42" s="12"/>
      <c r="V42" s="12"/>
      <c r="W42" s="12"/>
      <c r="X42" s="75"/>
      <c r="Y42" s="76"/>
      <c r="Z42" s="28"/>
      <c r="AA42" s="12"/>
      <c r="AB42" s="12"/>
      <c r="AC42" s="75"/>
      <c r="AD42" s="28"/>
      <c r="AE42" s="75"/>
      <c r="AF42" s="28"/>
      <c r="AG42" s="12"/>
      <c r="AH42" s="12"/>
      <c r="AI42" s="12"/>
      <c r="AJ42" s="12"/>
      <c r="AK42" s="75"/>
      <c r="AL42" s="28"/>
      <c r="AM42" s="12"/>
      <c r="AN42" s="12"/>
      <c r="AO42" s="75"/>
      <c r="AP42" s="28"/>
      <c r="AQ42" s="75"/>
      <c r="AR42" s="28"/>
      <c r="AS42" s="12"/>
      <c r="AT42" s="12"/>
      <c r="AU42" s="12"/>
      <c r="AV42" s="12"/>
      <c r="AW42" s="75"/>
      <c r="AX42" s="28"/>
      <c r="AY42" s="12"/>
      <c r="AZ42" s="12"/>
      <c r="BA42" s="12"/>
      <c r="BB42" s="12"/>
      <c r="BC42" s="75"/>
      <c r="BD42" s="28"/>
      <c r="BE42" s="12"/>
      <c r="BF42" s="12"/>
      <c r="BG42" s="75"/>
    </row>
    <row r="43" spans="1:59" x14ac:dyDescent="0.2">
      <c r="A43" s="14" t="s">
        <v>74</v>
      </c>
      <c r="B43" s="29">
        <f t="shared" ref="B43:B54" si="41">SUM(C43:BG43)</f>
        <v>225285544.6535688</v>
      </c>
      <c r="C43" s="30">
        <f>'Restating Adj'!C43+'Pro Forma Adj'!C43</f>
        <v>0</v>
      </c>
      <c r="D43" s="79">
        <f>'Restating Adj'!D43+'Pro Forma Adj'!D43</f>
        <v>0</v>
      </c>
      <c r="E43" s="79">
        <f>'Restating Adj'!E43+'Pro Forma Adj'!E43</f>
        <v>0</v>
      </c>
      <c r="F43" s="80">
        <f>'Restating Adj'!F43+'Pro Forma Adj'!F43</f>
        <v>0</v>
      </c>
      <c r="G43" s="275">
        <f>'Restating Adj'!G43+'Pro Forma Adj'!G43</f>
        <v>0</v>
      </c>
      <c r="H43" s="30">
        <f>'Restating Adj'!H43+'Pro Forma Adj'!H43</f>
        <v>0</v>
      </c>
      <c r="I43" s="79">
        <f>'Restating Adj'!I43+'Pro Forma Adj'!I43</f>
        <v>0</v>
      </c>
      <c r="J43" s="79">
        <f>'Restating Adj'!J43+'Pro Forma Adj'!J43</f>
        <v>0</v>
      </c>
      <c r="K43" s="79">
        <f>'Restating Adj'!K43+'Pro Forma Adj'!K43</f>
        <v>0</v>
      </c>
      <c r="L43" s="79">
        <f>'Restating Adj'!L43+'Pro Forma Adj'!L43</f>
        <v>0</v>
      </c>
      <c r="M43" s="80">
        <f>'Restating Adj'!M43+'Pro Forma Adj'!M43</f>
        <v>0</v>
      </c>
      <c r="N43" s="30">
        <f>'Restating Adj'!N43+'Pro Forma Adj'!N43</f>
        <v>0</v>
      </c>
      <c r="O43" s="79">
        <f>'Restating Adj'!O43+'Pro Forma Adj'!O43</f>
        <v>0</v>
      </c>
      <c r="P43" s="79">
        <f>'Restating Adj'!P43+'Pro Forma Adj'!P43</f>
        <v>0</v>
      </c>
      <c r="Q43" s="79">
        <f>'Restating Adj'!Q43+'Pro Forma Adj'!Q43</f>
        <v>0</v>
      </c>
      <c r="R43" s="79">
        <f>'Restating Adj'!R43+'Pro Forma Adj'!R43</f>
        <v>0</v>
      </c>
      <c r="S43" s="80">
        <f>'Restating Adj'!S43+'Pro Forma Adj'!S43</f>
        <v>0</v>
      </c>
      <c r="T43" s="30">
        <f>'Restating Adj'!T43+'Pro Forma Adj'!T43</f>
        <v>0</v>
      </c>
      <c r="U43" s="79">
        <f>'Restating Adj'!U43+'Pro Forma Adj'!U43</f>
        <v>0</v>
      </c>
      <c r="V43" s="79">
        <f>'Restating Adj'!V43+'Pro Forma Adj'!V43</f>
        <v>-27627626.061196692</v>
      </c>
      <c r="W43" s="79">
        <f>'Restating Adj'!W43+'Pro Forma Adj'!W43</f>
        <v>0</v>
      </c>
      <c r="X43" s="80">
        <f>'Restating Adj'!X43+'Pro Forma Adj'!X43</f>
        <v>312444.16559885937</v>
      </c>
      <c r="Y43" s="275">
        <f>'Restating Adj'!Y43+'Pro Forma Adj'!Y43</f>
        <v>0</v>
      </c>
      <c r="Z43" s="30">
        <f>'Restating Adj'!Z43+'Pro Forma Adj'!Z43</f>
        <v>0</v>
      </c>
      <c r="AA43" s="79">
        <f>'Restating Adj'!AA43+'Pro Forma Adj'!AA43</f>
        <v>0</v>
      </c>
      <c r="AB43" s="79">
        <f>'Restating Adj'!AB43+'Pro Forma Adj'!AB43</f>
        <v>0</v>
      </c>
      <c r="AC43" s="80">
        <f>'Restating Adj'!AC43+'Pro Forma Adj'!AC43</f>
        <v>0</v>
      </c>
      <c r="AD43" s="30">
        <f>'Restating Adj'!AD43+'Pro Forma Adj'!AD43</f>
        <v>0</v>
      </c>
      <c r="AE43" s="80">
        <f>'Restating Adj'!AE43+'Pro Forma Adj'!AE43</f>
        <v>0</v>
      </c>
      <c r="AF43" s="30">
        <f>'Restating Adj'!AF43+'Pro Forma Adj'!AF43</f>
        <v>0</v>
      </c>
      <c r="AG43" s="79">
        <f>'Restating Adj'!AG43+'Pro Forma Adj'!AG43</f>
        <v>0</v>
      </c>
      <c r="AH43" s="79">
        <f>'Restating Adj'!AH43+'Pro Forma Adj'!AH43</f>
        <v>0</v>
      </c>
      <c r="AI43" s="79">
        <f>'Restating Adj'!AI43+'Pro Forma Adj'!AI43</f>
        <v>0</v>
      </c>
      <c r="AJ43" s="79">
        <f>'Restating Adj'!AJ43+'Pro Forma Adj'!AJ43</f>
        <v>0</v>
      </c>
      <c r="AK43" s="80">
        <f>'Restating Adj'!AK43+'Pro Forma Adj'!AK43</f>
        <v>0</v>
      </c>
      <c r="AL43" s="30">
        <f>'Restating Adj'!AL43+'Pro Forma Adj'!AL43</f>
        <v>0</v>
      </c>
      <c r="AM43" s="79">
        <f>'Restating Adj'!AM43+'Pro Forma Adj'!AM43</f>
        <v>0</v>
      </c>
      <c r="AN43" s="79">
        <f>'Restating Adj'!AN43+'Pro Forma Adj'!AN43</f>
        <v>0</v>
      </c>
      <c r="AO43" s="80">
        <f>'Restating Adj'!AO43+'Pro Forma Adj'!AO43</f>
        <v>0</v>
      </c>
      <c r="AP43" s="30">
        <f>'Restating Adj'!AP43+'Pro Forma Adj'!AP43</f>
        <v>68402453.89308764</v>
      </c>
      <c r="AQ43" s="80">
        <f>'Restating Adj'!AQ43+'Pro Forma Adj'!AQ43</f>
        <v>0</v>
      </c>
      <c r="AR43" s="30">
        <f>'Restating Adj'!AR43+'Pro Forma Adj'!AR43</f>
        <v>0</v>
      </c>
      <c r="AS43" s="79">
        <f>'Restating Adj'!AS43+'Pro Forma Adj'!AS43</f>
        <v>72054929.707660571</v>
      </c>
      <c r="AT43" s="79">
        <f>'Restating Adj'!AT43+'Pro Forma Adj'!AT43</f>
        <v>0</v>
      </c>
      <c r="AU43" s="79">
        <f>'Restating Adj'!AU43+'Pro Forma Adj'!AU43</f>
        <v>-119616.25699999859</v>
      </c>
      <c r="AV43" s="79">
        <f>'Restating Adj'!AV43+'Pro Forma Adj'!AV43</f>
        <v>0</v>
      </c>
      <c r="AW43" s="80">
        <f>'Restating Adj'!AW43+'Pro Forma Adj'!AW43</f>
        <v>0</v>
      </c>
      <c r="AX43" s="30">
        <f>'Restating Adj'!AX43+'Pro Forma Adj'!AX43</f>
        <v>-49971970.412456051</v>
      </c>
      <c r="AY43" s="79">
        <f>'Restating Adj'!AY43+'Pro Forma Adj'!AY43</f>
        <v>26891641.18377804</v>
      </c>
      <c r="AZ43" s="79">
        <f>'Restating Adj'!AZ43+'Pro Forma Adj'!AZ43</f>
        <v>11783530.126723802</v>
      </c>
      <c r="BA43" s="79">
        <f>'Restating Adj'!BA43+'Pro Forma Adj'!BA43</f>
        <v>-10956613.03877151</v>
      </c>
      <c r="BB43" s="79">
        <f>'Restating Adj'!BB43+'Pro Forma Adj'!BB43</f>
        <v>189042406.43604827</v>
      </c>
      <c r="BC43" s="80">
        <f>'Restating Adj'!BC43+'Pro Forma Adj'!BC43</f>
        <v>0</v>
      </c>
      <c r="BD43" s="30">
        <f>'Restating Adj'!BD43+'Pro Forma Adj'!BD43</f>
        <v>-2784664.3282427858</v>
      </c>
      <c r="BE43" s="79">
        <f>'Restating Adj'!BE43+'Pro Forma Adj'!BE43</f>
        <v>-97344025.721295178</v>
      </c>
      <c r="BF43" s="79">
        <f>'Restating Adj'!BF43+'Pro Forma Adj'!BF43</f>
        <v>1528890.0839013197</v>
      </c>
      <c r="BG43" s="80">
        <f>'Restating Adj'!BG43+'Pro Forma Adj'!BG43</f>
        <v>44073764.875732519</v>
      </c>
    </row>
    <row r="44" spans="1:59" x14ac:dyDescent="0.2">
      <c r="A44" s="14" t="s">
        <v>75</v>
      </c>
      <c r="B44" s="29">
        <f t="shared" si="41"/>
        <v>0</v>
      </c>
      <c r="C44" s="30">
        <f>'Restating Adj'!C44+'Pro Forma Adj'!C44</f>
        <v>0</v>
      </c>
      <c r="D44" s="79">
        <f>'Restating Adj'!D44+'Pro Forma Adj'!D44</f>
        <v>0</v>
      </c>
      <c r="E44" s="79">
        <f>'Restating Adj'!E44+'Pro Forma Adj'!E44</f>
        <v>0</v>
      </c>
      <c r="F44" s="80">
        <f>'Restating Adj'!F44+'Pro Forma Adj'!F44</f>
        <v>0</v>
      </c>
      <c r="G44" s="275">
        <f>'Restating Adj'!G44+'Pro Forma Adj'!G44</f>
        <v>0</v>
      </c>
      <c r="H44" s="30">
        <f>'Restating Adj'!H44+'Pro Forma Adj'!H44</f>
        <v>0</v>
      </c>
      <c r="I44" s="79">
        <f>'Restating Adj'!I44+'Pro Forma Adj'!I44</f>
        <v>0</v>
      </c>
      <c r="J44" s="79">
        <f>'Restating Adj'!J44+'Pro Forma Adj'!J44</f>
        <v>0</v>
      </c>
      <c r="K44" s="79">
        <f>'Restating Adj'!K44+'Pro Forma Adj'!K44</f>
        <v>0</v>
      </c>
      <c r="L44" s="79">
        <f>'Restating Adj'!L44+'Pro Forma Adj'!L44</f>
        <v>0</v>
      </c>
      <c r="M44" s="80">
        <f>'Restating Adj'!M44+'Pro Forma Adj'!M44</f>
        <v>0</v>
      </c>
      <c r="N44" s="30">
        <f>'Restating Adj'!N44+'Pro Forma Adj'!N44</f>
        <v>0</v>
      </c>
      <c r="O44" s="79">
        <f>'Restating Adj'!O44+'Pro Forma Adj'!O44</f>
        <v>0</v>
      </c>
      <c r="P44" s="79">
        <f>'Restating Adj'!P44+'Pro Forma Adj'!P44</f>
        <v>0</v>
      </c>
      <c r="Q44" s="79">
        <f>'Restating Adj'!Q44+'Pro Forma Adj'!Q44</f>
        <v>0</v>
      </c>
      <c r="R44" s="79">
        <f>'Restating Adj'!R44+'Pro Forma Adj'!R44</f>
        <v>0</v>
      </c>
      <c r="S44" s="80">
        <f>'Restating Adj'!S44+'Pro Forma Adj'!S44</f>
        <v>0</v>
      </c>
      <c r="T44" s="30">
        <f>'Restating Adj'!T44+'Pro Forma Adj'!T44</f>
        <v>0</v>
      </c>
      <c r="U44" s="79">
        <f>'Restating Adj'!U44+'Pro Forma Adj'!U44</f>
        <v>0</v>
      </c>
      <c r="V44" s="79">
        <f>'Restating Adj'!V44+'Pro Forma Adj'!V44</f>
        <v>0</v>
      </c>
      <c r="W44" s="79">
        <f>'Restating Adj'!W44+'Pro Forma Adj'!W44</f>
        <v>0</v>
      </c>
      <c r="X44" s="80">
        <f>'Restating Adj'!X44+'Pro Forma Adj'!X44</f>
        <v>0</v>
      </c>
      <c r="Y44" s="275">
        <f>'Restating Adj'!Y44+'Pro Forma Adj'!Y44</f>
        <v>0</v>
      </c>
      <c r="Z44" s="30">
        <f>'Restating Adj'!Z44+'Pro Forma Adj'!Z44</f>
        <v>0</v>
      </c>
      <c r="AA44" s="79">
        <f>'Restating Adj'!AA44+'Pro Forma Adj'!AA44</f>
        <v>0</v>
      </c>
      <c r="AB44" s="79">
        <f>'Restating Adj'!AB44+'Pro Forma Adj'!AB44</f>
        <v>0</v>
      </c>
      <c r="AC44" s="80">
        <f>'Restating Adj'!AC44+'Pro Forma Adj'!AC44</f>
        <v>0</v>
      </c>
      <c r="AD44" s="30">
        <f>'Restating Adj'!AD44+'Pro Forma Adj'!AD44</f>
        <v>0</v>
      </c>
      <c r="AE44" s="80">
        <f>'Restating Adj'!AE44+'Pro Forma Adj'!AE44</f>
        <v>0</v>
      </c>
      <c r="AF44" s="30">
        <f>'Restating Adj'!AF44+'Pro Forma Adj'!AF44</f>
        <v>0</v>
      </c>
      <c r="AG44" s="79">
        <f>'Restating Adj'!AG44+'Pro Forma Adj'!AG44</f>
        <v>0</v>
      </c>
      <c r="AH44" s="79">
        <f>'Restating Adj'!AH44+'Pro Forma Adj'!AH44</f>
        <v>0</v>
      </c>
      <c r="AI44" s="79">
        <f>'Restating Adj'!AI44+'Pro Forma Adj'!AI44</f>
        <v>0</v>
      </c>
      <c r="AJ44" s="79">
        <f>'Restating Adj'!AJ44+'Pro Forma Adj'!AJ44</f>
        <v>0</v>
      </c>
      <c r="AK44" s="80">
        <f>'Restating Adj'!AK44+'Pro Forma Adj'!AK44</f>
        <v>0</v>
      </c>
      <c r="AL44" s="30">
        <f>'Restating Adj'!AL44+'Pro Forma Adj'!AL44</f>
        <v>0</v>
      </c>
      <c r="AM44" s="79">
        <f>'Restating Adj'!AM44+'Pro Forma Adj'!AM44</f>
        <v>0</v>
      </c>
      <c r="AN44" s="79">
        <f>'Restating Adj'!AN44+'Pro Forma Adj'!AN44</f>
        <v>0</v>
      </c>
      <c r="AO44" s="80">
        <f>'Restating Adj'!AO44+'Pro Forma Adj'!AO44</f>
        <v>0</v>
      </c>
      <c r="AP44" s="30">
        <f>'Restating Adj'!AP44+'Pro Forma Adj'!AP44</f>
        <v>0</v>
      </c>
      <c r="AQ44" s="80">
        <f>'Restating Adj'!AQ44+'Pro Forma Adj'!AQ44</f>
        <v>0</v>
      </c>
      <c r="AR44" s="30">
        <f>'Restating Adj'!AR44+'Pro Forma Adj'!AR44</f>
        <v>0</v>
      </c>
      <c r="AS44" s="79">
        <f>'Restating Adj'!AS44+'Pro Forma Adj'!AS44</f>
        <v>0</v>
      </c>
      <c r="AT44" s="79">
        <f>'Restating Adj'!AT44+'Pro Forma Adj'!AT44</f>
        <v>0</v>
      </c>
      <c r="AU44" s="79">
        <f>'Restating Adj'!AU44+'Pro Forma Adj'!AU44</f>
        <v>0</v>
      </c>
      <c r="AV44" s="79">
        <f>'Restating Adj'!AV44+'Pro Forma Adj'!AV44</f>
        <v>0</v>
      </c>
      <c r="AW44" s="80">
        <f>'Restating Adj'!AW44+'Pro Forma Adj'!AW44</f>
        <v>0</v>
      </c>
      <c r="AX44" s="30">
        <f>'Restating Adj'!AX44+'Pro Forma Adj'!AX44</f>
        <v>0</v>
      </c>
      <c r="AY44" s="79">
        <f>'Restating Adj'!AY44+'Pro Forma Adj'!AY44</f>
        <v>0</v>
      </c>
      <c r="AZ44" s="79">
        <f>'Restating Adj'!AZ44+'Pro Forma Adj'!AZ44</f>
        <v>0</v>
      </c>
      <c r="BA44" s="79">
        <f>'Restating Adj'!BA44+'Pro Forma Adj'!BA44</f>
        <v>0</v>
      </c>
      <c r="BB44" s="79">
        <f>'Restating Adj'!BB44+'Pro Forma Adj'!BB44</f>
        <v>0</v>
      </c>
      <c r="BC44" s="80">
        <f>'Restating Adj'!BC44+'Pro Forma Adj'!BC44</f>
        <v>0</v>
      </c>
      <c r="BD44" s="30">
        <f>'Restating Adj'!BD44+'Pro Forma Adj'!BD44</f>
        <v>0</v>
      </c>
      <c r="BE44" s="79">
        <f>'Restating Adj'!BE44+'Pro Forma Adj'!BE44</f>
        <v>0</v>
      </c>
      <c r="BF44" s="79">
        <f>'Restating Adj'!BF44+'Pro Forma Adj'!BF44</f>
        <v>0</v>
      </c>
      <c r="BG44" s="80">
        <f>'Restating Adj'!BG44+'Pro Forma Adj'!BG44</f>
        <v>0</v>
      </c>
    </row>
    <row r="45" spans="1:59" x14ac:dyDescent="0.2">
      <c r="A45" s="14" t="s">
        <v>76</v>
      </c>
      <c r="B45" s="29">
        <f t="shared" si="41"/>
        <v>-3860837.6868859874</v>
      </c>
      <c r="C45" s="30">
        <f>'Restating Adj'!C45+'Pro Forma Adj'!C45</f>
        <v>0</v>
      </c>
      <c r="D45" s="79">
        <f>'Restating Adj'!D45+'Pro Forma Adj'!D45</f>
        <v>0</v>
      </c>
      <c r="E45" s="79">
        <f>'Restating Adj'!E45+'Pro Forma Adj'!E45</f>
        <v>0</v>
      </c>
      <c r="F45" s="80">
        <f>'Restating Adj'!F45+'Pro Forma Adj'!F45</f>
        <v>0</v>
      </c>
      <c r="G45" s="275">
        <f>'Restating Adj'!G45+'Pro Forma Adj'!G45</f>
        <v>0</v>
      </c>
      <c r="H45" s="30">
        <f>'Restating Adj'!H45+'Pro Forma Adj'!H45</f>
        <v>0</v>
      </c>
      <c r="I45" s="79">
        <f>'Restating Adj'!I45+'Pro Forma Adj'!I45</f>
        <v>0</v>
      </c>
      <c r="J45" s="79">
        <f>'Restating Adj'!J45+'Pro Forma Adj'!J45</f>
        <v>0</v>
      </c>
      <c r="K45" s="79">
        <f>'Restating Adj'!K45+'Pro Forma Adj'!K45</f>
        <v>0</v>
      </c>
      <c r="L45" s="79">
        <f>'Restating Adj'!L45+'Pro Forma Adj'!L45</f>
        <v>0</v>
      </c>
      <c r="M45" s="80">
        <f>'Restating Adj'!M45+'Pro Forma Adj'!M45</f>
        <v>0</v>
      </c>
      <c r="N45" s="30">
        <f>'Restating Adj'!N45+'Pro Forma Adj'!N45</f>
        <v>0</v>
      </c>
      <c r="O45" s="79">
        <f>'Restating Adj'!O45+'Pro Forma Adj'!O45</f>
        <v>0</v>
      </c>
      <c r="P45" s="79">
        <f>'Restating Adj'!P45+'Pro Forma Adj'!P45</f>
        <v>0</v>
      </c>
      <c r="Q45" s="79">
        <f>'Restating Adj'!Q45+'Pro Forma Adj'!Q45</f>
        <v>0</v>
      </c>
      <c r="R45" s="79">
        <f>'Restating Adj'!R45+'Pro Forma Adj'!R45</f>
        <v>0</v>
      </c>
      <c r="S45" s="80">
        <f>'Restating Adj'!S45+'Pro Forma Adj'!S45</f>
        <v>0</v>
      </c>
      <c r="T45" s="30">
        <f>'Restating Adj'!T45+'Pro Forma Adj'!T45</f>
        <v>0</v>
      </c>
      <c r="U45" s="79">
        <f>'Restating Adj'!U45+'Pro Forma Adj'!U45</f>
        <v>0</v>
      </c>
      <c r="V45" s="79">
        <f>'Restating Adj'!V45+'Pro Forma Adj'!V45</f>
        <v>0</v>
      </c>
      <c r="W45" s="79">
        <f>'Restating Adj'!W45+'Pro Forma Adj'!W45</f>
        <v>0</v>
      </c>
      <c r="X45" s="80">
        <f>'Restating Adj'!X45+'Pro Forma Adj'!X45</f>
        <v>0</v>
      </c>
      <c r="Y45" s="275">
        <f>'Restating Adj'!Y45+'Pro Forma Adj'!Y45</f>
        <v>0</v>
      </c>
      <c r="Z45" s="30">
        <f>'Restating Adj'!Z45+'Pro Forma Adj'!Z45</f>
        <v>0</v>
      </c>
      <c r="AA45" s="79">
        <f>'Restating Adj'!AA45+'Pro Forma Adj'!AA45</f>
        <v>0</v>
      </c>
      <c r="AB45" s="79">
        <f>'Restating Adj'!AB45+'Pro Forma Adj'!AB45</f>
        <v>0</v>
      </c>
      <c r="AC45" s="80">
        <f>'Restating Adj'!AC45+'Pro Forma Adj'!AC45</f>
        <v>0</v>
      </c>
      <c r="AD45" s="30">
        <f>'Restating Adj'!AD45+'Pro Forma Adj'!AD45</f>
        <v>0</v>
      </c>
      <c r="AE45" s="80">
        <f>'Restating Adj'!AE45+'Pro Forma Adj'!AE45</f>
        <v>0</v>
      </c>
      <c r="AF45" s="30">
        <f>'Restating Adj'!AF45+'Pro Forma Adj'!AF45</f>
        <v>0</v>
      </c>
      <c r="AG45" s="79">
        <f>'Restating Adj'!AG45+'Pro Forma Adj'!AG45</f>
        <v>0</v>
      </c>
      <c r="AH45" s="79">
        <f>'Restating Adj'!AH45+'Pro Forma Adj'!AH45</f>
        <v>0</v>
      </c>
      <c r="AI45" s="79">
        <f>'Restating Adj'!AI45+'Pro Forma Adj'!AI45</f>
        <v>0</v>
      </c>
      <c r="AJ45" s="79">
        <f>'Restating Adj'!AJ45+'Pro Forma Adj'!AJ45</f>
        <v>0</v>
      </c>
      <c r="AK45" s="80">
        <f>'Restating Adj'!AK45+'Pro Forma Adj'!AK45</f>
        <v>0</v>
      </c>
      <c r="AL45" s="30">
        <f>'Restating Adj'!AL45+'Pro Forma Adj'!AL45</f>
        <v>0</v>
      </c>
      <c r="AM45" s="79">
        <f>'Restating Adj'!AM45+'Pro Forma Adj'!AM45</f>
        <v>0</v>
      </c>
      <c r="AN45" s="79">
        <f>'Restating Adj'!AN45+'Pro Forma Adj'!AN45</f>
        <v>0</v>
      </c>
      <c r="AO45" s="80">
        <f>'Restating Adj'!AO45+'Pro Forma Adj'!AO45</f>
        <v>0</v>
      </c>
      <c r="AP45" s="30">
        <f>'Restating Adj'!AP45+'Pro Forma Adj'!AP45</f>
        <v>430387.13048055291</v>
      </c>
      <c r="AQ45" s="80">
        <f>'Restating Adj'!AQ45+'Pro Forma Adj'!AQ45</f>
        <v>141430.18583333335</v>
      </c>
      <c r="AR45" s="30">
        <f>'Restating Adj'!AR45+'Pro Forma Adj'!AR45</f>
        <v>0</v>
      </c>
      <c r="AS45" s="79">
        <f>'Restating Adj'!AS45+'Pro Forma Adj'!AS45</f>
        <v>0</v>
      </c>
      <c r="AT45" s="79">
        <f>'Restating Adj'!AT45+'Pro Forma Adj'!AT45</f>
        <v>-4432655.0031998735</v>
      </c>
      <c r="AU45" s="79">
        <f>'Restating Adj'!AU45+'Pro Forma Adj'!AU45</f>
        <v>0</v>
      </c>
      <c r="AV45" s="79">
        <f>'Restating Adj'!AV45+'Pro Forma Adj'!AV45</f>
        <v>0</v>
      </c>
      <c r="AW45" s="80">
        <f>'Restating Adj'!AW45+'Pro Forma Adj'!AW45</f>
        <v>0</v>
      </c>
      <c r="AX45" s="30">
        <f>'Restating Adj'!AX45+'Pro Forma Adj'!AX45</f>
        <v>0</v>
      </c>
      <c r="AY45" s="79">
        <f>'Restating Adj'!AY45+'Pro Forma Adj'!AY45</f>
        <v>0</v>
      </c>
      <c r="AZ45" s="79">
        <f>'Restating Adj'!AZ45+'Pro Forma Adj'!AZ45</f>
        <v>0</v>
      </c>
      <c r="BA45" s="79">
        <f>'Restating Adj'!BA45+'Pro Forma Adj'!BA45</f>
        <v>0</v>
      </c>
      <c r="BB45" s="79">
        <f>'Restating Adj'!BB45+'Pro Forma Adj'!BB45</f>
        <v>0</v>
      </c>
      <c r="BC45" s="80">
        <f>'Restating Adj'!BC45+'Pro Forma Adj'!BC45</f>
        <v>0</v>
      </c>
      <c r="BD45" s="30">
        <f>'Restating Adj'!BD45+'Pro Forma Adj'!BD45</f>
        <v>0</v>
      </c>
      <c r="BE45" s="79">
        <f>'Restating Adj'!BE45+'Pro Forma Adj'!BE45</f>
        <v>0</v>
      </c>
      <c r="BF45" s="79">
        <f>'Restating Adj'!BF45+'Pro Forma Adj'!BF45</f>
        <v>0</v>
      </c>
      <c r="BG45" s="80">
        <f>'Restating Adj'!BG45+'Pro Forma Adj'!BG45</f>
        <v>0</v>
      </c>
    </row>
    <row r="46" spans="1:59" x14ac:dyDescent="0.2">
      <c r="A46" s="14" t="s">
        <v>77</v>
      </c>
      <c r="B46" s="29">
        <f t="shared" si="41"/>
        <v>0</v>
      </c>
      <c r="C46" s="30">
        <f>'Restating Adj'!C46+'Pro Forma Adj'!C46</f>
        <v>0</v>
      </c>
      <c r="D46" s="79">
        <f>'Restating Adj'!D46+'Pro Forma Adj'!D46</f>
        <v>0</v>
      </c>
      <c r="E46" s="79">
        <f>'Restating Adj'!E46+'Pro Forma Adj'!E46</f>
        <v>0</v>
      </c>
      <c r="F46" s="80">
        <f>'Restating Adj'!F46+'Pro Forma Adj'!F46</f>
        <v>0</v>
      </c>
      <c r="G46" s="275">
        <f>'Restating Adj'!G46+'Pro Forma Adj'!G46</f>
        <v>0</v>
      </c>
      <c r="H46" s="30">
        <f>'Restating Adj'!H46+'Pro Forma Adj'!H46</f>
        <v>0</v>
      </c>
      <c r="I46" s="79">
        <f>'Restating Adj'!I46+'Pro Forma Adj'!I46</f>
        <v>0</v>
      </c>
      <c r="J46" s="79">
        <f>'Restating Adj'!J46+'Pro Forma Adj'!J46</f>
        <v>0</v>
      </c>
      <c r="K46" s="79">
        <f>'Restating Adj'!K46+'Pro Forma Adj'!K46</f>
        <v>0</v>
      </c>
      <c r="L46" s="79">
        <f>'Restating Adj'!L46+'Pro Forma Adj'!L46</f>
        <v>0</v>
      </c>
      <c r="M46" s="80">
        <f>'Restating Adj'!M46+'Pro Forma Adj'!M46</f>
        <v>0</v>
      </c>
      <c r="N46" s="30">
        <f>'Restating Adj'!N46+'Pro Forma Adj'!N46</f>
        <v>0</v>
      </c>
      <c r="O46" s="79">
        <f>'Restating Adj'!O46+'Pro Forma Adj'!O46</f>
        <v>0</v>
      </c>
      <c r="P46" s="79">
        <f>'Restating Adj'!P46+'Pro Forma Adj'!P46</f>
        <v>0</v>
      </c>
      <c r="Q46" s="79">
        <f>'Restating Adj'!Q46+'Pro Forma Adj'!Q46</f>
        <v>0</v>
      </c>
      <c r="R46" s="79">
        <f>'Restating Adj'!R46+'Pro Forma Adj'!R46</f>
        <v>0</v>
      </c>
      <c r="S46" s="80">
        <f>'Restating Adj'!S46+'Pro Forma Adj'!S46</f>
        <v>0</v>
      </c>
      <c r="T46" s="30">
        <f>'Restating Adj'!T46+'Pro Forma Adj'!T46</f>
        <v>0</v>
      </c>
      <c r="U46" s="79">
        <f>'Restating Adj'!U46+'Pro Forma Adj'!U46</f>
        <v>0</v>
      </c>
      <c r="V46" s="79">
        <f>'Restating Adj'!V46+'Pro Forma Adj'!V46</f>
        <v>0</v>
      </c>
      <c r="W46" s="79">
        <f>'Restating Adj'!W46+'Pro Forma Adj'!W46</f>
        <v>0</v>
      </c>
      <c r="X46" s="80">
        <f>'Restating Adj'!X46+'Pro Forma Adj'!X46</f>
        <v>0</v>
      </c>
      <c r="Y46" s="275">
        <f>'Restating Adj'!Y46+'Pro Forma Adj'!Y46</f>
        <v>0</v>
      </c>
      <c r="Z46" s="30">
        <f>'Restating Adj'!Z46+'Pro Forma Adj'!Z46</f>
        <v>0</v>
      </c>
      <c r="AA46" s="79">
        <f>'Restating Adj'!AA46+'Pro Forma Adj'!AA46</f>
        <v>0</v>
      </c>
      <c r="AB46" s="79">
        <f>'Restating Adj'!AB46+'Pro Forma Adj'!AB46</f>
        <v>0</v>
      </c>
      <c r="AC46" s="80">
        <f>'Restating Adj'!AC46+'Pro Forma Adj'!AC46</f>
        <v>0</v>
      </c>
      <c r="AD46" s="30">
        <f>'Restating Adj'!AD46+'Pro Forma Adj'!AD46</f>
        <v>0</v>
      </c>
      <c r="AE46" s="80">
        <f>'Restating Adj'!AE46+'Pro Forma Adj'!AE46</f>
        <v>0</v>
      </c>
      <c r="AF46" s="30">
        <f>'Restating Adj'!AF46+'Pro Forma Adj'!AF46</f>
        <v>0</v>
      </c>
      <c r="AG46" s="79">
        <f>'Restating Adj'!AG46+'Pro Forma Adj'!AG46</f>
        <v>0</v>
      </c>
      <c r="AH46" s="79">
        <f>'Restating Adj'!AH46+'Pro Forma Adj'!AH46</f>
        <v>0</v>
      </c>
      <c r="AI46" s="79">
        <f>'Restating Adj'!AI46+'Pro Forma Adj'!AI46</f>
        <v>0</v>
      </c>
      <c r="AJ46" s="79">
        <f>'Restating Adj'!AJ46+'Pro Forma Adj'!AJ46</f>
        <v>0</v>
      </c>
      <c r="AK46" s="80">
        <f>'Restating Adj'!AK46+'Pro Forma Adj'!AK46</f>
        <v>0</v>
      </c>
      <c r="AL46" s="30">
        <f>'Restating Adj'!AL46+'Pro Forma Adj'!AL46</f>
        <v>0</v>
      </c>
      <c r="AM46" s="79">
        <f>'Restating Adj'!AM46+'Pro Forma Adj'!AM46</f>
        <v>0</v>
      </c>
      <c r="AN46" s="79">
        <f>'Restating Adj'!AN46+'Pro Forma Adj'!AN46</f>
        <v>0</v>
      </c>
      <c r="AO46" s="80">
        <f>'Restating Adj'!AO46+'Pro Forma Adj'!AO46</f>
        <v>0</v>
      </c>
      <c r="AP46" s="30">
        <f>'Restating Adj'!AP46+'Pro Forma Adj'!AP46</f>
        <v>0</v>
      </c>
      <c r="AQ46" s="80">
        <f>'Restating Adj'!AQ46+'Pro Forma Adj'!AQ46</f>
        <v>0</v>
      </c>
      <c r="AR46" s="30">
        <f>'Restating Adj'!AR46+'Pro Forma Adj'!AR46</f>
        <v>0</v>
      </c>
      <c r="AS46" s="79">
        <f>'Restating Adj'!AS46+'Pro Forma Adj'!AS46</f>
        <v>0</v>
      </c>
      <c r="AT46" s="79">
        <f>'Restating Adj'!AT46+'Pro Forma Adj'!AT46</f>
        <v>0</v>
      </c>
      <c r="AU46" s="79">
        <f>'Restating Adj'!AU46+'Pro Forma Adj'!AU46</f>
        <v>0</v>
      </c>
      <c r="AV46" s="79">
        <f>'Restating Adj'!AV46+'Pro Forma Adj'!AV46</f>
        <v>0</v>
      </c>
      <c r="AW46" s="80">
        <f>'Restating Adj'!AW46+'Pro Forma Adj'!AW46</f>
        <v>0</v>
      </c>
      <c r="AX46" s="30">
        <f>'Restating Adj'!AX46+'Pro Forma Adj'!AX46</f>
        <v>0</v>
      </c>
      <c r="AY46" s="79">
        <f>'Restating Adj'!AY46+'Pro Forma Adj'!AY46</f>
        <v>0</v>
      </c>
      <c r="AZ46" s="79">
        <f>'Restating Adj'!AZ46+'Pro Forma Adj'!AZ46</f>
        <v>0</v>
      </c>
      <c r="BA46" s="79">
        <f>'Restating Adj'!BA46+'Pro Forma Adj'!BA46</f>
        <v>0</v>
      </c>
      <c r="BB46" s="79">
        <f>'Restating Adj'!BB46+'Pro Forma Adj'!BB46</f>
        <v>0</v>
      </c>
      <c r="BC46" s="80">
        <f>'Restating Adj'!BC46+'Pro Forma Adj'!BC46</f>
        <v>0</v>
      </c>
      <c r="BD46" s="30">
        <f>'Restating Adj'!BD46+'Pro Forma Adj'!BD46</f>
        <v>0</v>
      </c>
      <c r="BE46" s="79">
        <f>'Restating Adj'!BE46+'Pro Forma Adj'!BE46</f>
        <v>0</v>
      </c>
      <c r="BF46" s="79">
        <f>'Restating Adj'!BF46+'Pro Forma Adj'!BF46</f>
        <v>0</v>
      </c>
      <c r="BG46" s="80">
        <f>'Restating Adj'!BG46+'Pro Forma Adj'!BG46</f>
        <v>0</v>
      </c>
    </row>
    <row r="47" spans="1:59" x14ac:dyDescent="0.2">
      <c r="A47" s="14" t="s">
        <v>78</v>
      </c>
      <c r="B47" s="29">
        <f t="shared" si="41"/>
        <v>0</v>
      </c>
      <c r="C47" s="30">
        <f>'Restating Adj'!C47+'Pro Forma Adj'!C47</f>
        <v>0</v>
      </c>
      <c r="D47" s="79">
        <f>'Restating Adj'!D47+'Pro Forma Adj'!D47</f>
        <v>0</v>
      </c>
      <c r="E47" s="79">
        <f>'Restating Adj'!E47+'Pro Forma Adj'!E47</f>
        <v>0</v>
      </c>
      <c r="F47" s="80">
        <f>'Restating Adj'!F47+'Pro Forma Adj'!F47</f>
        <v>0</v>
      </c>
      <c r="G47" s="275">
        <f>'Restating Adj'!G47+'Pro Forma Adj'!G47</f>
        <v>0</v>
      </c>
      <c r="H47" s="30">
        <f>'Restating Adj'!H47+'Pro Forma Adj'!H47</f>
        <v>0</v>
      </c>
      <c r="I47" s="79">
        <f>'Restating Adj'!I47+'Pro Forma Adj'!I47</f>
        <v>0</v>
      </c>
      <c r="J47" s="79">
        <f>'Restating Adj'!J47+'Pro Forma Adj'!J47</f>
        <v>0</v>
      </c>
      <c r="K47" s="79">
        <f>'Restating Adj'!K47+'Pro Forma Adj'!K47</f>
        <v>0</v>
      </c>
      <c r="L47" s="79">
        <f>'Restating Adj'!L47+'Pro Forma Adj'!L47</f>
        <v>0</v>
      </c>
      <c r="M47" s="80">
        <f>'Restating Adj'!M47+'Pro Forma Adj'!M47</f>
        <v>0</v>
      </c>
      <c r="N47" s="30">
        <f>'Restating Adj'!N47+'Pro Forma Adj'!N47</f>
        <v>0</v>
      </c>
      <c r="O47" s="79">
        <f>'Restating Adj'!O47+'Pro Forma Adj'!O47</f>
        <v>0</v>
      </c>
      <c r="P47" s="79">
        <f>'Restating Adj'!P47+'Pro Forma Adj'!P47</f>
        <v>0</v>
      </c>
      <c r="Q47" s="79">
        <f>'Restating Adj'!Q47+'Pro Forma Adj'!Q47</f>
        <v>0</v>
      </c>
      <c r="R47" s="79">
        <f>'Restating Adj'!R47+'Pro Forma Adj'!R47</f>
        <v>0</v>
      </c>
      <c r="S47" s="80">
        <f>'Restating Adj'!S47+'Pro Forma Adj'!S47</f>
        <v>0</v>
      </c>
      <c r="T47" s="30">
        <f>'Restating Adj'!T47+'Pro Forma Adj'!T47</f>
        <v>0</v>
      </c>
      <c r="U47" s="79">
        <f>'Restating Adj'!U47+'Pro Forma Adj'!U47</f>
        <v>0</v>
      </c>
      <c r="V47" s="79">
        <f>'Restating Adj'!V47+'Pro Forma Adj'!V47</f>
        <v>0</v>
      </c>
      <c r="W47" s="79">
        <f>'Restating Adj'!W47+'Pro Forma Adj'!W47</f>
        <v>0</v>
      </c>
      <c r="X47" s="80">
        <f>'Restating Adj'!X47+'Pro Forma Adj'!X47</f>
        <v>0</v>
      </c>
      <c r="Y47" s="275">
        <f>'Restating Adj'!Y47+'Pro Forma Adj'!Y47</f>
        <v>0</v>
      </c>
      <c r="Z47" s="30">
        <f>'Restating Adj'!Z47+'Pro Forma Adj'!Z47</f>
        <v>0</v>
      </c>
      <c r="AA47" s="79">
        <f>'Restating Adj'!AA47+'Pro Forma Adj'!AA47</f>
        <v>0</v>
      </c>
      <c r="AB47" s="79">
        <f>'Restating Adj'!AB47+'Pro Forma Adj'!AB47</f>
        <v>0</v>
      </c>
      <c r="AC47" s="80">
        <f>'Restating Adj'!AC47+'Pro Forma Adj'!AC47</f>
        <v>0</v>
      </c>
      <c r="AD47" s="30">
        <f>'Restating Adj'!AD47+'Pro Forma Adj'!AD47</f>
        <v>0</v>
      </c>
      <c r="AE47" s="80">
        <f>'Restating Adj'!AE47+'Pro Forma Adj'!AE47</f>
        <v>0</v>
      </c>
      <c r="AF47" s="30">
        <f>'Restating Adj'!AF47+'Pro Forma Adj'!AF47</f>
        <v>0</v>
      </c>
      <c r="AG47" s="79">
        <f>'Restating Adj'!AG47+'Pro Forma Adj'!AG47</f>
        <v>0</v>
      </c>
      <c r="AH47" s="79">
        <f>'Restating Adj'!AH47+'Pro Forma Adj'!AH47</f>
        <v>0</v>
      </c>
      <c r="AI47" s="79">
        <f>'Restating Adj'!AI47+'Pro Forma Adj'!AI47</f>
        <v>0</v>
      </c>
      <c r="AJ47" s="79">
        <f>'Restating Adj'!AJ47+'Pro Forma Adj'!AJ47</f>
        <v>0</v>
      </c>
      <c r="AK47" s="80">
        <f>'Restating Adj'!AK47+'Pro Forma Adj'!AK47</f>
        <v>0</v>
      </c>
      <c r="AL47" s="30">
        <f>'Restating Adj'!AL47+'Pro Forma Adj'!AL47</f>
        <v>0</v>
      </c>
      <c r="AM47" s="79">
        <f>'Restating Adj'!AM47+'Pro Forma Adj'!AM47</f>
        <v>0</v>
      </c>
      <c r="AN47" s="79">
        <f>'Restating Adj'!AN47+'Pro Forma Adj'!AN47</f>
        <v>0</v>
      </c>
      <c r="AO47" s="80">
        <f>'Restating Adj'!AO47+'Pro Forma Adj'!AO47</f>
        <v>0</v>
      </c>
      <c r="AP47" s="30">
        <f>'Restating Adj'!AP47+'Pro Forma Adj'!AP47</f>
        <v>0</v>
      </c>
      <c r="AQ47" s="80">
        <f>'Restating Adj'!AQ47+'Pro Forma Adj'!AQ47</f>
        <v>0</v>
      </c>
      <c r="AR47" s="30">
        <f>'Restating Adj'!AR47+'Pro Forma Adj'!AR47</f>
        <v>0</v>
      </c>
      <c r="AS47" s="79">
        <f>'Restating Adj'!AS47+'Pro Forma Adj'!AS47</f>
        <v>0</v>
      </c>
      <c r="AT47" s="79">
        <f>'Restating Adj'!AT47+'Pro Forma Adj'!AT47</f>
        <v>0</v>
      </c>
      <c r="AU47" s="79">
        <f>'Restating Adj'!AU47+'Pro Forma Adj'!AU47</f>
        <v>0</v>
      </c>
      <c r="AV47" s="79">
        <f>'Restating Adj'!AV47+'Pro Forma Adj'!AV47</f>
        <v>0</v>
      </c>
      <c r="AW47" s="80">
        <f>'Restating Adj'!AW47+'Pro Forma Adj'!AW47</f>
        <v>0</v>
      </c>
      <c r="AX47" s="30">
        <f>'Restating Adj'!AX47+'Pro Forma Adj'!AX47</f>
        <v>0</v>
      </c>
      <c r="AY47" s="79">
        <f>'Restating Adj'!AY47+'Pro Forma Adj'!AY47</f>
        <v>0</v>
      </c>
      <c r="AZ47" s="79">
        <f>'Restating Adj'!AZ47+'Pro Forma Adj'!AZ47</f>
        <v>0</v>
      </c>
      <c r="BA47" s="79">
        <f>'Restating Adj'!BA47+'Pro Forma Adj'!BA47</f>
        <v>0</v>
      </c>
      <c r="BB47" s="79">
        <f>'Restating Adj'!BB47+'Pro Forma Adj'!BB47</f>
        <v>0</v>
      </c>
      <c r="BC47" s="80">
        <f>'Restating Adj'!BC47+'Pro Forma Adj'!BC47</f>
        <v>0</v>
      </c>
      <c r="BD47" s="30">
        <f>'Restating Adj'!BD47+'Pro Forma Adj'!BD47</f>
        <v>0</v>
      </c>
      <c r="BE47" s="79">
        <f>'Restating Adj'!BE47+'Pro Forma Adj'!BE47</f>
        <v>0</v>
      </c>
      <c r="BF47" s="79">
        <f>'Restating Adj'!BF47+'Pro Forma Adj'!BF47</f>
        <v>0</v>
      </c>
      <c r="BG47" s="80">
        <f>'Restating Adj'!BG47+'Pro Forma Adj'!BG47</f>
        <v>0</v>
      </c>
    </row>
    <row r="48" spans="1:59" x14ac:dyDescent="0.2">
      <c r="A48" s="14" t="s">
        <v>79</v>
      </c>
      <c r="B48" s="29">
        <f t="shared" si="41"/>
        <v>-2033329.3412143218</v>
      </c>
      <c r="C48" s="30">
        <f>'Restating Adj'!C48+'Pro Forma Adj'!C48</f>
        <v>0</v>
      </c>
      <c r="D48" s="79">
        <f>'Restating Adj'!D48+'Pro Forma Adj'!D48</f>
        <v>0</v>
      </c>
      <c r="E48" s="79">
        <f>'Restating Adj'!E48+'Pro Forma Adj'!E48</f>
        <v>0</v>
      </c>
      <c r="F48" s="80">
        <f>'Restating Adj'!F48+'Pro Forma Adj'!F48</f>
        <v>0</v>
      </c>
      <c r="G48" s="275">
        <f>'Restating Adj'!G48+'Pro Forma Adj'!G48</f>
        <v>0</v>
      </c>
      <c r="H48" s="30">
        <f>'Restating Adj'!H48+'Pro Forma Adj'!H48</f>
        <v>0</v>
      </c>
      <c r="I48" s="79">
        <f>'Restating Adj'!I48+'Pro Forma Adj'!I48</f>
        <v>0</v>
      </c>
      <c r="J48" s="79">
        <f>'Restating Adj'!J48+'Pro Forma Adj'!J48</f>
        <v>0</v>
      </c>
      <c r="K48" s="79">
        <f>'Restating Adj'!K48+'Pro Forma Adj'!K48</f>
        <v>0</v>
      </c>
      <c r="L48" s="79">
        <f>'Restating Adj'!L48+'Pro Forma Adj'!L48</f>
        <v>0</v>
      </c>
      <c r="M48" s="80">
        <f>'Restating Adj'!M48+'Pro Forma Adj'!M48</f>
        <v>0</v>
      </c>
      <c r="N48" s="30">
        <f>'Restating Adj'!N48+'Pro Forma Adj'!N48</f>
        <v>0</v>
      </c>
      <c r="O48" s="79">
        <f>'Restating Adj'!O48+'Pro Forma Adj'!O48</f>
        <v>0</v>
      </c>
      <c r="P48" s="79">
        <f>'Restating Adj'!P48+'Pro Forma Adj'!P48</f>
        <v>0</v>
      </c>
      <c r="Q48" s="79">
        <f>'Restating Adj'!Q48+'Pro Forma Adj'!Q48</f>
        <v>0</v>
      </c>
      <c r="R48" s="79">
        <f>'Restating Adj'!R48+'Pro Forma Adj'!R48</f>
        <v>0</v>
      </c>
      <c r="S48" s="80">
        <f>'Restating Adj'!S48+'Pro Forma Adj'!S48</f>
        <v>0</v>
      </c>
      <c r="T48" s="30">
        <f>'Restating Adj'!T48+'Pro Forma Adj'!T48</f>
        <v>0</v>
      </c>
      <c r="U48" s="79">
        <f>'Restating Adj'!U48+'Pro Forma Adj'!U48</f>
        <v>0</v>
      </c>
      <c r="V48" s="79">
        <f>'Restating Adj'!V48+'Pro Forma Adj'!V48</f>
        <v>0</v>
      </c>
      <c r="W48" s="79">
        <f>'Restating Adj'!W48+'Pro Forma Adj'!W48</f>
        <v>0</v>
      </c>
      <c r="X48" s="80">
        <f>'Restating Adj'!X48+'Pro Forma Adj'!X48</f>
        <v>0</v>
      </c>
      <c r="Y48" s="275">
        <f>'Restating Adj'!Y48+'Pro Forma Adj'!Y48</f>
        <v>0</v>
      </c>
      <c r="Z48" s="30">
        <f>'Restating Adj'!Z48+'Pro Forma Adj'!Z48</f>
        <v>0</v>
      </c>
      <c r="AA48" s="79">
        <f>'Restating Adj'!AA48+'Pro Forma Adj'!AA48</f>
        <v>0</v>
      </c>
      <c r="AB48" s="79">
        <f>'Restating Adj'!AB48+'Pro Forma Adj'!AB48</f>
        <v>0</v>
      </c>
      <c r="AC48" s="80">
        <f>'Restating Adj'!AC48+'Pro Forma Adj'!AC48</f>
        <v>0</v>
      </c>
      <c r="AD48" s="30">
        <f>'Restating Adj'!AD48+'Pro Forma Adj'!AD48</f>
        <v>0</v>
      </c>
      <c r="AE48" s="80">
        <f>'Restating Adj'!AE48+'Pro Forma Adj'!AE48</f>
        <v>0</v>
      </c>
      <c r="AF48" s="30">
        <f>'Restating Adj'!AF48+'Pro Forma Adj'!AF48</f>
        <v>0</v>
      </c>
      <c r="AG48" s="79">
        <f>'Restating Adj'!AG48+'Pro Forma Adj'!AG48</f>
        <v>0</v>
      </c>
      <c r="AH48" s="79">
        <f>'Restating Adj'!AH48+'Pro Forma Adj'!AH48</f>
        <v>0</v>
      </c>
      <c r="AI48" s="79">
        <f>'Restating Adj'!AI48+'Pro Forma Adj'!AI48</f>
        <v>0</v>
      </c>
      <c r="AJ48" s="79">
        <f>'Restating Adj'!AJ48+'Pro Forma Adj'!AJ48</f>
        <v>0</v>
      </c>
      <c r="AK48" s="80">
        <f>'Restating Adj'!AK48+'Pro Forma Adj'!AK48</f>
        <v>0</v>
      </c>
      <c r="AL48" s="30">
        <f>'Restating Adj'!AL48+'Pro Forma Adj'!AL48</f>
        <v>0</v>
      </c>
      <c r="AM48" s="79">
        <f>'Restating Adj'!AM48+'Pro Forma Adj'!AM48</f>
        <v>0</v>
      </c>
      <c r="AN48" s="79">
        <f>'Restating Adj'!AN48+'Pro Forma Adj'!AN48</f>
        <v>0</v>
      </c>
      <c r="AO48" s="80">
        <f>'Restating Adj'!AO48+'Pro Forma Adj'!AO48</f>
        <v>0</v>
      </c>
      <c r="AP48" s="30">
        <f>'Restating Adj'!AP48+'Pro Forma Adj'!AP48</f>
        <v>0</v>
      </c>
      <c r="AQ48" s="80">
        <f>'Restating Adj'!AQ48+'Pro Forma Adj'!AQ48</f>
        <v>0</v>
      </c>
      <c r="AR48" s="30">
        <f>'Restating Adj'!AR48+'Pro Forma Adj'!AR48</f>
        <v>0</v>
      </c>
      <c r="AS48" s="79">
        <f>'Restating Adj'!AS48+'Pro Forma Adj'!AS48</f>
        <v>0</v>
      </c>
      <c r="AT48" s="79">
        <f>'Restating Adj'!AT48+'Pro Forma Adj'!AT48</f>
        <v>-2033329.3412143218</v>
      </c>
      <c r="AU48" s="79">
        <f>'Restating Adj'!AU48+'Pro Forma Adj'!AU48</f>
        <v>0</v>
      </c>
      <c r="AV48" s="79">
        <f>'Restating Adj'!AV48+'Pro Forma Adj'!AV48</f>
        <v>0</v>
      </c>
      <c r="AW48" s="80">
        <f>'Restating Adj'!AW48+'Pro Forma Adj'!AW48</f>
        <v>0</v>
      </c>
      <c r="AX48" s="30">
        <f>'Restating Adj'!AX48+'Pro Forma Adj'!AX48</f>
        <v>0</v>
      </c>
      <c r="AY48" s="79">
        <f>'Restating Adj'!AY48+'Pro Forma Adj'!AY48</f>
        <v>0</v>
      </c>
      <c r="AZ48" s="79">
        <f>'Restating Adj'!AZ48+'Pro Forma Adj'!AZ48</f>
        <v>0</v>
      </c>
      <c r="BA48" s="79">
        <f>'Restating Adj'!BA48+'Pro Forma Adj'!BA48</f>
        <v>0</v>
      </c>
      <c r="BB48" s="79">
        <f>'Restating Adj'!BB48+'Pro Forma Adj'!BB48</f>
        <v>0</v>
      </c>
      <c r="BC48" s="80">
        <f>'Restating Adj'!BC48+'Pro Forma Adj'!BC48</f>
        <v>0</v>
      </c>
      <c r="BD48" s="30">
        <f>'Restating Adj'!BD48+'Pro Forma Adj'!BD48</f>
        <v>0</v>
      </c>
      <c r="BE48" s="79">
        <f>'Restating Adj'!BE48+'Pro Forma Adj'!BE48</f>
        <v>0</v>
      </c>
      <c r="BF48" s="79">
        <f>'Restating Adj'!BF48+'Pro Forma Adj'!BF48</f>
        <v>0</v>
      </c>
      <c r="BG48" s="80">
        <f>'Restating Adj'!BG48+'Pro Forma Adj'!BG48</f>
        <v>0</v>
      </c>
    </row>
    <row r="49" spans="1:59" x14ac:dyDescent="0.2">
      <c r="A49" s="14" t="s">
        <v>80</v>
      </c>
      <c r="B49" s="29">
        <f t="shared" si="41"/>
        <v>-5721215.8555581281</v>
      </c>
      <c r="C49" s="30">
        <f>'Restating Adj'!C49+'Pro Forma Adj'!C49</f>
        <v>0</v>
      </c>
      <c r="D49" s="79">
        <f>'Restating Adj'!D49+'Pro Forma Adj'!D49</f>
        <v>0</v>
      </c>
      <c r="E49" s="79">
        <f>'Restating Adj'!E49+'Pro Forma Adj'!E49</f>
        <v>0</v>
      </c>
      <c r="F49" s="80">
        <f>'Restating Adj'!F49+'Pro Forma Adj'!F49</f>
        <v>0</v>
      </c>
      <c r="G49" s="275">
        <f>'Restating Adj'!G49+'Pro Forma Adj'!G49</f>
        <v>0</v>
      </c>
      <c r="H49" s="30">
        <f>'Restating Adj'!H49+'Pro Forma Adj'!H49</f>
        <v>0</v>
      </c>
      <c r="I49" s="79">
        <f>'Restating Adj'!I49+'Pro Forma Adj'!I49</f>
        <v>0</v>
      </c>
      <c r="J49" s="79">
        <f>'Restating Adj'!J49+'Pro Forma Adj'!J49</f>
        <v>0</v>
      </c>
      <c r="K49" s="79">
        <f>'Restating Adj'!K49+'Pro Forma Adj'!K49</f>
        <v>0</v>
      </c>
      <c r="L49" s="79">
        <f>'Restating Adj'!L49+'Pro Forma Adj'!L49</f>
        <v>0</v>
      </c>
      <c r="M49" s="80">
        <f>'Restating Adj'!M49+'Pro Forma Adj'!M49</f>
        <v>0</v>
      </c>
      <c r="N49" s="30">
        <f>'Restating Adj'!N49+'Pro Forma Adj'!N49</f>
        <v>0</v>
      </c>
      <c r="O49" s="79">
        <f>'Restating Adj'!O49+'Pro Forma Adj'!O49</f>
        <v>0</v>
      </c>
      <c r="P49" s="79">
        <f>'Restating Adj'!P49+'Pro Forma Adj'!P49</f>
        <v>0</v>
      </c>
      <c r="Q49" s="79">
        <f>'Restating Adj'!Q49+'Pro Forma Adj'!Q49</f>
        <v>0</v>
      </c>
      <c r="R49" s="79">
        <f>'Restating Adj'!R49+'Pro Forma Adj'!R49</f>
        <v>0</v>
      </c>
      <c r="S49" s="80">
        <f>'Restating Adj'!S49+'Pro Forma Adj'!S49</f>
        <v>0</v>
      </c>
      <c r="T49" s="30">
        <f>'Restating Adj'!T49+'Pro Forma Adj'!T49</f>
        <v>0</v>
      </c>
      <c r="U49" s="79">
        <f>'Restating Adj'!U49+'Pro Forma Adj'!U49</f>
        <v>0</v>
      </c>
      <c r="V49" s="79">
        <f>'Restating Adj'!V49+'Pro Forma Adj'!V49</f>
        <v>0</v>
      </c>
      <c r="W49" s="79">
        <f>'Restating Adj'!W49+'Pro Forma Adj'!W49</f>
        <v>0</v>
      </c>
      <c r="X49" s="80">
        <f>'Restating Adj'!X49+'Pro Forma Adj'!X49</f>
        <v>0</v>
      </c>
      <c r="Y49" s="275">
        <f>'Restating Adj'!Y49+'Pro Forma Adj'!Y49</f>
        <v>0</v>
      </c>
      <c r="Z49" s="30">
        <f>'Restating Adj'!Z49+'Pro Forma Adj'!Z49</f>
        <v>0</v>
      </c>
      <c r="AA49" s="79">
        <f>'Restating Adj'!AA49+'Pro Forma Adj'!AA49</f>
        <v>0</v>
      </c>
      <c r="AB49" s="79">
        <f>'Restating Adj'!AB49+'Pro Forma Adj'!AB49</f>
        <v>0</v>
      </c>
      <c r="AC49" s="80">
        <f>'Restating Adj'!AC49+'Pro Forma Adj'!AC49</f>
        <v>0</v>
      </c>
      <c r="AD49" s="30">
        <f>'Restating Adj'!AD49+'Pro Forma Adj'!AD49</f>
        <v>0</v>
      </c>
      <c r="AE49" s="80">
        <f>'Restating Adj'!AE49+'Pro Forma Adj'!AE49</f>
        <v>0</v>
      </c>
      <c r="AF49" s="30">
        <f>'Restating Adj'!AF49+'Pro Forma Adj'!AF49</f>
        <v>0</v>
      </c>
      <c r="AG49" s="79">
        <f>'Restating Adj'!AG49+'Pro Forma Adj'!AG49</f>
        <v>0</v>
      </c>
      <c r="AH49" s="79">
        <f>'Restating Adj'!AH49+'Pro Forma Adj'!AH49</f>
        <v>0</v>
      </c>
      <c r="AI49" s="79">
        <f>'Restating Adj'!AI49+'Pro Forma Adj'!AI49</f>
        <v>0</v>
      </c>
      <c r="AJ49" s="79">
        <f>'Restating Adj'!AJ49+'Pro Forma Adj'!AJ49</f>
        <v>0</v>
      </c>
      <c r="AK49" s="80">
        <f>'Restating Adj'!AK49+'Pro Forma Adj'!AK49</f>
        <v>0</v>
      </c>
      <c r="AL49" s="30">
        <f>'Restating Adj'!AL49+'Pro Forma Adj'!AL49</f>
        <v>0</v>
      </c>
      <c r="AM49" s="79">
        <f>'Restating Adj'!AM49+'Pro Forma Adj'!AM49</f>
        <v>0</v>
      </c>
      <c r="AN49" s="79">
        <f>'Restating Adj'!AN49+'Pro Forma Adj'!AN49</f>
        <v>0</v>
      </c>
      <c r="AO49" s="80">
        <f>'Restating Adj'!AO49+'Pro Forma Adj'!AO49</f>
        <v>0</v>
      </c>
      <c r="AP49" s="30">
        <f>'Restating Adj'!AP49+'Pro Forma Adj'!AP49</f>
        <v>0</v>
      </c>
      <c r="AQ49" s="80">
        <f>'Restating Adj'!AQ49+'Pro Forma Adj'!AQ49</f>
        <v>0</v>
      </c>
      <c r="AR49" s="30">
        <f>'Restating Adj'!AR49+'Pro Forma Adj'!AR49</f>
        <v>0</v>
      </c>
      <c r="AS49" s="79">
        <f>'Restating Adj'!AS49+'Pro Forma Adj'!AS49</f>
        <v>0</v>
      </c>
      <c r="AT49" s="79">
        <f>'Restating Adj'!AT49+'Pro Forma Adj'!AT49</f>
        <v>-5721215.8555581281</v>
      </c>
      <c r="AU49" s="79">
        <f>'Restating Adj'!AU49+'Pro Forma Adj'!AU49</f>
        <v>0</v>
      </c>
      <c r="AV49" s="79">
        <f>'Restating Adj'!AV49+'Pro Forma Adj'!AV49</f>
        <v>0</v>
      </c>
      <c r="AW49" s="80">
        <f>'Restating Adj'!AW49+'Pro Forma Adj'!AW49</f>
        <v>0</v>
      </c>
      <c r="AX49" s="30">
        <f>'Restating Adj'!AX49+'Pro Forma Adj'!AX49</f>
        <v>0</v>
      </c>
      <c r="AY49" s="79">
        <f>'Restating Adj'!AY49+'Pro Forma Adj'!AY49</f>
        <v>0</v>
      </c>
      <c r="AZ49" s="79">
        <f>'Restating Adj'!AZ49+'Pro Forma Adj'!AZ49</f>
        <v>0</v>
      </c>
      <c r="BA49" s="79">
        <f>'Restating Adj'!BA49+'Pro Forma Adj'!BA49</f>
        <v>0</v>
      </c>
      <c r="BB49" s="79">
        <f>'Restating Adj'!BB49+'Pro Forma Adj'!BB49</f>
        <v>0</v>
      </c>
      <c r="BC49" s="80">
        <f>'Restating Adj'!BC49+'Pro Forma Adj'!BC49</f>
        <v>0</v>
      </c>
      <c r="BD49" s="30">
        <f>'Restating Adj'!BD49+'Pro Forma Adj'!BD49</f>
        <v>0</v>
      </c>
      <c r="BE49" s="79">
        <f>'Restating Adj'!BE49+'Pro Forma Adj'!BE49</f>
        <v>0</v>
      </c>
      <c r="BF49" s="79">
        <f>'Restating Adj'!BF49+'Pro Forma Adj'!BF49</f>
        <v>0</v>
      </c>
      <c r="BG49" s="80">
        <f>'Restating Adj'!BG49+'Pro Forma Adj'!BG49</f>
        <v>0</v>
      </c>
    </row>
    <row r="50" spans="1:59" x14ac:dyDescent="0.2">
      <c r="A50" s="14" t="s">
        <v>81</v>
      </c>
      <c r="B50" s="29">
        <f t="shared" si="41"/>
        <v>-8818868.4865037892</v>
      </c>
      <c r="C50" s="30">
        <f>'Restating Adj'!C50+'Pro Forma Adj'!C50</f>
        <v>0</v>
      </c>
      <c r="D50" s="79">
        <f>'Restating Adj'!D50+'Pro Forma Adj'!D50</f>
        <v>0</v>
      </c>
      <c r="E50" s="79">
        <f>'Restating Adj'!E50+'Pro Forma Adj'!E50</f>
        <v>0</v>
      </c>
      <c r="F50" s="80">
        <f>'Restating Adj'!F50+'Pro Forma Adj'!F50</f>
        <v>0</v>
      </c>
      <c r="G50" s="275">
        <f>'Restating Adj'!G50+'Pro Forma Adj'!G50</f>
        <v>0</v>
      </c>
      <c r="H50" s="30">
        <f>'Restating Adj'!H50+'Pro Forma Adj'!H50</f>
        <v>0</v>
      </c>
      <c r="I50" s="79">
        <f>'Restating Adj'!I50+'Pro Forma Adj'!I50</f>
        <v>0</v>
      </c>
      <c r="J50" s="79">
        <f>'Restating Adj'!J50+'Pro Forma Adj'!J50</f>
        <v>0</v>
      </c>
      <c r="K50" s="79">
        <f>'Restating Adj'!K50+'Pro Forma Adj'!K50</f>
        <v>0</v>
      </c>
      <c r="L50" s="79">
        <f>'Restating Adj'!L50+'Pro Forma Adj'!L50</f>
        <v>0</v>
      </c>
      <c r="M50" s="80">
        <f>'Restating Adj'!M50+'Pro Forma Adj'!M50</f>
        <v>0</v>
      </c>
      <c r="N50" s="30">
        <f>'Restating Adj'!N50+'Pro Forma Adj'!N50</f>
        <v>0</v>
      </c>
      <c r="O50" s="79">
        <f>'Restating Adj'!O50+'Pro Forma Adj'!O50</f>
        <v>0</v>
      </c>
      <c r="P50" s="79">
        <f>'Restating Adj'!P50+'Pro Forma Adj'!P50</f>
        <v>0</v>
      </c>
      <c r="Q50" s="79">
        <f>'Restating Adj'!Q50+'Pro Forma Adj'!Q50</f>
        <v>0</v>
      </c>
      <c r="R50" s="79">
        <f>'Restating Adj'!R50+'Pro Forma Adj'!R50</f>
        <v>0</v>
      </c>
      <c r="S50" s="80">
        <f>'Restating Adj'!S50+'Pro Forma Adj'!S50</f>
        <v>0</v>
      </c>
      <c r="T50" s="30">
        <f>'Restating Adj'!T50+'Pro Forma Adj'!T50</f>
        <v>0</v>
      </c>
      <c r="U50" s="79">
        <f>'Restating Adj'!U50+'Pro Forma Adj'!U50</f>
        <v>0</v>
      </c>
      <c r="V50" s="79">
        <f>'Restating Adj'!V50+'Pro Forma Adj'!V50</f>
        <v>0</v>
      </c>
      <c r="W50" s="79">
        <f>'Restating Adj'!W50+'Pro Forma Adj'!W50</f>
        <v>0</v>
      </c>
      <c r="X50" s="80">
        <f>'Restating Adj'!X50+'Pro Forma Adj'!X50</f>
        <v>0</v>
      </c>
      <c r="Y50" s="275">
        <f>'Restating Adj'!Y50+'Pro Forma Adj'!Y50</f>
        <v>0</v>
      </c>
      <c r="Z50" s="30">
        <f>'Restating Adj'!Z50+'Pro Forma Adj'!Z50</f>
        <v>0</v>
      </c>
      <c r="AA50" s="79">
        <f>'Restating Adj'!AA50+'Pro Forma Adj'!AA50</f>
        <v>0</v>
      </c>
      <c r="AB50" s="79">
        <f>'Restating Adj'!AB50+'Pro Forma Adj'!AB50</f>
        <v>0</v>
      </c>
      <c r="AC50" s="80">
        <f>'Restating Adj'!AC50+'Pro Forma Adj'!AC50</f>
        <v>0</v>
      </c>
      <c r="AD50" s="30">
        <f>'Restating Adj'!AD50+'Pro Forma Adj'!AD50</f>
        <v>0</v>
      </c>
      <c r="AE50" s="80">
        <f>'Restating Adj'!AE50+'Pro Forma Adj'!AE50</f>
        <v>0</v>
      </c>
      <c r="AF50" s="30">
        <f>'Restating Adj'!AF50+'Pro Forma Adj'!AF50</f>
        <v>0</v>
      </c>
      <c r="AG50" s="79">
        <f>'Restating Adj'!AG50+'Pro Forma Adj'!AG50</f>
        <v>0</v>
      </c>
      <c r="AH50" s="79">
        <f>'Restating Adj'!AH50+'Pro Forma Adj'!AH50</f>
        <v>0</v>
      </c>
      <c r="AI50" s="79">
        <f>'Restating Adj'!AI50+'Pro Forma Adj'!AI50</f>
        <v>0</v>
      </c>
      <c r="AJ50" s="79">
        <f>'Restating Adj'!AJ50+'Pro Forma Adj'!AJ50</f>
        <v>0</v>
      </c>
      <c r="AK50" s="80">
        <f>'Restating Adj'!AK50+'Pro Forma Adj'!AK50</f>
        <v>0</v>
      </c>
      <c r="AL50" s="30">
        <f>'Restating Adj'!AL50+'Pro Forma Adj'!AL50</f>
        <v>0</v>
      </c>
      <c r="AM50" s="79">
        <f>'Restating Adj'!AM50+'Pro Forma Adj'!AM50</f>
        <v>0</v>
      </c>
      <c r="AN50" s="79">
        <f>'Restating Adj'!AN50+'Pro Forma Adj'!AN50</f>
        <v>0</v>
      </c>
      <c r="AO50" s="80">
        <f>'Restating Adj'!AO50+'Pro Forma Adj'!AO50</f>
        <v>0</v>
      </c>
      <c r="AP50" s="30">
        <f>'Restating Adj'!AP50+'Pro Forma Adj'!AP50</f>
        <v>0</v>
      </c>
      <c r="AQ50" s="80">
        <f>'Restating Adj'!AQ50+'Pro Forma Adj'!AQ50</f>
        <v>0</v>
      </c>
      <c r="AR50" s="30">
        <f>'Restating Adj'!AR50+'Pro Forma Adj'!AR50</f>
        <v>0</v>
      </c>
      <c r="AS50" s="79">
        <f>'Restating Adj'!AS50+'Pro Forma Adj'!AS50</f>
        <v>0</v>
      </c>
      <c r="AT50" s="79">
        <f>'Restating Adj'!AT50+'Pro Forma Adj'!AT50</f>
        <v>-8818868.4865037892</v>
      </c>
      <c r="AU50" s="79">
        <f>'Restating Adj'!AU50+'Pro Forma Adj'!AU50</f>
        <v>0</v>
      </c>
      <c r="AV50" s="79">
        <f>'Restating Adj'!AV50+'Pro Forma Adj'!AV50</f>
        <v>0</v>
      </c>
      <c r="AW50" s="80">
        <f>'Restating Adj'!AW50+'Pro Forma Adj'!AW50</f>
        <v>0</v>
      </c>
      <c r="AX50" s="30">
        <f>'Restating Adj'!AX50+'Pro Forma Adj'!AX50</f>
        <v>0</v>
      </c>
      <c r="AY50" s="79">
        <f>'Restating Adj'!AY50+'Pro Forma Adj'!AY50</f>
        <v>0</v>
      </c>
      <c r="AZ50" s="79">
        <f>'Restating Adj'!AZ50+'Pro Forma Adj'!AZ50</f>
        <v>0</v>
      </c>
      <c r="BA50" s="79">
        <f>'Restating Adj'!BA50+'Pro Forma Adj'!BA50</f>
        <v>0</v>
      </c>
      <c r="BB50" s="79">
        <f>'Restating Adj'!BB50+'Pro Forma Adj'!BB50</f>
        <v>0</v>
      </c>
      <c r="BC50" s="80">
        <f>'Restating Adj'!BC50+'Pro Forma Adj'!BC50</f>
        <v>0</v>
      </c>
      <c r="BD50" s="30">
        <f>'Restating Adj'!BD50+'Pro Forma Adj'!BD50</f>
        <v>0</v>
      </c>
      <c r="BE50" s="79">
        <f>'Restating Adj'!BE50+'Pro Forma Adj'!BE50</f>
        <v>0</v>
      </c>
      <c r="BF50" s="79">
        <f>'Restating Adj'!BF50+'Pro Forma Adj'!BF50</f>
        <v>0</v>
      </c>
      <c r="BG50" s="80">
        <f>'Restating Adj'!BG50+'Pro Forma Adj'!BG50</f>
        <v>0</v>
      </c>
    </row>
    <row r="51" spans="1:59" x14ac:dyDescent="0.2">
      <c r="A51" s="14" t="s">
        <v>82</v>
      </c>
      <c r="B51" s="29">
        <f t="shared" si="41"/>
        <v>20620031.009925332</v>
      </c>
      <c r="C51" s="30">
        <f>'Restating Adj'!C51+'Pro Forma Adj'!C51</f>
        <v>0</v>
      </c>
      <c r="D51" s="79">
        <f>'Restating Adj'!D51+'Pro Forma Adj'!D51</f>
        <v>0</v>
      </c>
      <c r="E51" s="79">
        <f>'Restating Adj'!E51+'Pro Forma Adj'!E51</f>
        <v>0</v>
      </c>
      <c r="F51" s="80">
        <f>'Restating Adj'!F51+'Pro Forma Adj'!F51</f>
        <v>0</v>
      </c>
      <c r="G51" s="275">
        <f>'Restating Adj'!G51+'Pro Forma Adj'!G51</f>
        <v>0</v>
      </c>
      <c r="H51" s="30">
        <f>'Restating Adj'!H51+'Pro Forma Adj'!H51</f>
        <v>0</v>
      </c>
      <c r="I51" s="79">
        <f>'Restating Adj'!I51+'Pro Forma Adj'!I51</f>
        <v>0</v>
      </c>
      <c r="J51" s="79">
        <f>'Restating Adj'!J51+'Pro Forma Adj'!J51</f>
        <v>0</v>
      </c>
      <c r="K51" s="79">
        <f>'Restating Adj'!K51+'Pro Forma Adj'!K51</f>
        <v>0</v>
      </c>
      <c r="L51" s="79">
        <f>'Restating Adj'!L51+'Pro Forma Adj'!L51</f>
        <v>0</v>
      </c>
      <c r="M51" s="80">
        <f>'Restating Adj'!M51+'Pro Forma Adj'!M51</f>
        <v>0</v>
      </c>
      <c r="N51" s="30">
        <f>'Restating Adj'!N51+'Pro Forma Adj'!N51</f>
        <v>0</v>
      </c>
      <c r="O51" s="79">
        <f>'Restating Adj'!O51+'Pro Forma Adj'!O51</f>
        <v>0</v>
      </c>
      <c r="P51" s="79">
        <f>'Restating Adj'!P51+'Pro Forma Adj'!P51</f>
        <v>0</v>
      </c>
      <c r="Q51" s="79">
        <f>'Restating Adj'!Q51+'Pro Forma Adj'!Q51</f>
        <v>0</v>
      </c>
      <c r="R51" s="79">
        <f>'Restating Adj'!R51+'Pro Forma Adj'!R51</f>
        <v>0</v>
      </c>
      <c r="S51" s="80">
        <f>'Restating Adj'!S51+'Pro Forma Adj'!S51</f>
        <v>0</v>
      </c>
      <c r="T51" s="30">
        <f>'Restating Adj'!T51+'Pro Forma Adj'!T51</f>
        <v>0</v>
      </c>
      <c r="U51" s="79">
        <f>'Restating Adj'!U51+'Pro Forma Adj'!U51</f>
        <v>0</v>
      </c>
      <c r="V51" s="79">
        <f>'Restating Adj'!V51+'Pro Forma Adj'!V51</f>
        <v>0</v>
      </c>
      <c r="W51" s="79">
        <f>'Restating Adj'!W51+'Pro Forma Adj'!W51</f>
        <v>0</v>
      </c>
      <c r="X51" s="80">
        <f>'Restating Adj'!X51+'Pro Forma Adj'!X51</f>
        <v>0</v>
      </c>
      <c r="Y51" s="275">
        <f>'Restating Adj'!Y51+'Pro Forma Adj'!Y51</f>
        <v>0</v>
      </c>
      <c r="Z51" s="30">
        <f>'Restating Adj'!Z51+'Pro Forma Adj'!Z51</f>
        <v>0</v>
      </c>
      <c r="AA51" s="79">
        <f>'Restating Adj'!AA51+'Pro Forma Adj'!AA51</f>
        <v>0</v>
      </c>
      <c r="AB51" s="79">
        <f>'Restating Adj'!AB51+'Pro Forma Adj'!AB51</f>
        <v>0</v>
      </c>
      <c r="AC51" s="80">
        <f>'Restating Adj'!AC51+'Pro Forma Adj'!AC51</f>
        <v>0</v>
      </c>
      <c r="AD51" s="30">
        <f>'Restating Adj'!AD51+'Pro Forma Adj'!AD51</f>
        <v>0</v>
      </c>
      <c r="AE51" s="80">
        <f>'Restating Adj'!AE51+'Pro Forma Adj'!AE51</f>
        <v>0</v>
      </c>
      <c r="AF51" s="30">
        <f>'Restating Adj'!AF51+'Pro Forma Adj'!AF51</f>
        <v>0</v>
      </c>
      <c r="AG51" s="79">
        <f>'Restating Adj'!AG51+'Pro Forma Adj'!AG51</f>
        <v>0</v>
      </c>
      <c r="AH51" s="79">
        <f>'Restating Adj'!AH51+'Pro Forma Adj'!AH51</f>
        <v>0</v>
      </c>
      <c r="AI51" s="79">
        <f>'Restating Adj'!AI51+'Pro Forma Adj'!AI51</f>
        <v>0</v>
      </c>
      <c r="AJ51" s="79">
        <f>'Restating Adj'!AJ51+'Pro Forma Adj'!AJ51</f>
        <v>0</v>
      </c>
      <c r="AK51" s="80">
        <f>'Restating Adj'!AK51+'Pro Forma Adj'!AK51</f>
        <v>0</v>
      </c>
      <c r="AL51" s="30">
        <f>'Restating Adj'!AL51+'Pro Forma Adj'!AL51</f>
        <v>0</v>
      </c>
      <c r="AM51" s="79">
        <f>'Restating Adj'!AM51+'Pro Forma Adj'!AM51</f>
        <v>0</v>
      </c>
      <c r="AN51" s="79">
        <f>'Restating Adj'!AN51+'Pro Forma Adj'!AN51</f>
        <v>0</v>
      </c>
      <c r="AO51" s="80">
        <f>'Restating Adj'!AO51+'Pro Forma Adj'!AO51</f>
        <v>0</v>
      </c>
      <c r="AP51" s="30">
        <f>'Restating Adj'!AP51+'Pro Forma Adj'!AP51</f>
        <v>0</v>
      </c>
      <c r="AQ51" s="80">
        <f>'Restating Adj'!AQ51+'Pro Forma Adj'!AQ51</f>
        <v>0</v>
      </c>
      <c r="AR51" s="30">
        <f>'Restating Adj'!AR51+'Pro Forma Adj'!AR51</f>
        <v>0</v>
      </c>
      <c r="AS51" s="79">
        <f>'Restating Adj'!AS51+'Pro Forma Adj'!AS51</f>
        <v>0</v>
      </c>
      <c r="AT51" s="79">
        <f>'Restating Adj'!AT51+'Pro Forma Adj'!AT51</f>
        <v>-2839473.9421010017</v>
      </c>
      <c r="AU51" s="79">
        <f>'Restating Adj'!AU51+'Pro Forma Adj'!AU51</f>
        <v>0</v>
      </c>
      <c r="AV51" s="79">
        <f>'Restating Adj'!AV51+'Pro Forma Adj'!AV51</f>
        <v>0</v>
      </c>
      <c r="AW51" s="80">
        <f>'Restating Adj'!AW51+'Pro Forma Adj'!AW51</f>
        <v>23459504.952026334</v>
      </c>
      <c r="AX51" s="30">
        <f>'Restating Adj'!AX51+'Pro Forma Adj'!AX51</f>
        <v>0</v>
      </c>
      <c r="AY51" s="79">
        <f>'Restating Adj'!AY51+'Pro Forma Adj'!AY51</f>
        <v>0</v>
      </c>
      <c r="AZ51" s="79">
        <f>'Restating Adj'!AZ51+'Pro Forma Adj'!AZ51</f>
        <v>0</v>
      </c>
      <c r="BA51" s="79">
        <f>'Restating Adj'!BA51+'Pro Forma Adj'!BA51</f>
        <v>0</v>
      </c>
      <c r="BB51" s="79">
        <f>'Restating Adj'!BB51+'Pro Forma Adj'!BB51</f>
        <v>0</v>
      </c>
      <c r="BC51" s="80">
        <f>'Restating Adj'!BC51+'Pro Forma Adj'!BC51</f>
        <v>0</v>
      </c>
      <c r="BD51" s="30">
        <f>'Restating Adj'!BD51+'Pro Forma Adj'!BD51</f>
        <v>0</v>
      </c>
      <c r="BE51" s="79">
        <f>'Restating Adj'!BE51+'Pro Forma Adj'!BE51</f>
        <v>0</v>
      </c>
      <c r="BF51" s="79">
        <f>'Restating Adj'!BF51+'Pro Forma Adj'!BF51</f>
        <v>0</v>
      </c>
      <c r="BG51" s="80">
        <f>'Restating Adj'!BG51+'Pro Forma Adj'!BG51</f>
        <v>0</v>
      </c>
    </row>
    <row r="52" spans="1:59" x14ac:dyDescent="0.2">
      <c r="A52" s="14" t="s">
        <v>83</v>
      </c>
      <c r="B52" s="29">
        <f t="shared" si="41"/>
        <v>0</v>
      </c>
      <c r="C52" s="30">
        <f>'Restating Adj'!C52+'Pro Forma Adj'!C52</f>
        <v>0</v>
      </c>
      <c r="D52" s="79">
        <f>'Restating Adj'!D52+'Pro Forma Adj'!D52</f>
        <v>0</v>
      </c>
      <c r="E52" s="79">
        <f>'Restating Adj'!E52+'Pro Forma Adj'!E52</f>
        <v>0</v>
      </c>
      <c r="F52" s="80">
        <f>'Restating Adj'!F52+'Pro Forma Adj'!F52</f>
        <v>0</v>
      </c>
      <c r="G52" s="275">
        <f>'Restating Adj'!G52+'Pro Forma Adj'!G52</f>
        <v>0</v>
      </c>
      <c r="H52" s="30">
        <f>'Restating Adj'!H52+'Pro Forma Adj'!H52</f>
        <v>0</v>
      </c>
      <c r="I52" s="79">
        <f>'Restating Adj'!I52+'Pro Forma Adj'!I52</f>
        <v>0</v>
      </c>
      <c r="J52" s="79">
        <f>'Restating Adj'!J52+'Pro Forma Adj'!J52</f>
        <v>0</v>
      </c>
      <c r="K52" s="79">
        <f>'Restating Adj'!K52+'Pro Forma Adj'!K52</f>
        <v>0</v>
      </c>
      <c r="L52" s="79">
        <f>'Restating Adj'!L52+'Pro Forma Adj'!L52</f>
        <v>0</v>
      </c>
      <c r="M52" s="80">
        <f>'Restating Adj'!M52+'Pro Forma Adj'!M52</f>
        <v>0</v>
      </c>
      <c r="N52" s="30">
        <f>'Restating Adj'!N52+'Pro Forma Adj'!N52</f>
        <v>0</v>
      </c>
      <c r="O52" s="79">
        <f>'Restating Adj'!O52+'Pro Forma Adj'!O52</f>
        <v>0</v>
      </c>
      <c r="P52" s="79">
        <f>'Restating Adj'!P52+'Pro Forma Adj'!P52</f>
        <v>0</v>
      </c>
      <c r="Q52" s="79">
        <f>'Restating Adj'!Q52+'Pro Forma Adj'!Q52</f>
        <v>0</v>
      </c>
      <c r="R52" s="79">
        <f>'Restating Adj'!R52+'Pro Forma Adj'!R52</f>
        <v>0</v>
      </c>
      <c r="S52" s="80">
        <f>'Restating Adj'!S52+'Pro Forma Adj'!S52</f>
        <v>0</v>
      </c>
      <c r="T52" s="30">
        <f>'Restating Adj'!T52+'Pro Forma Adj'!T52</f>
        <v>0</v>
      </c>
      <c r="U52" s="79">
        <f>'Restating Adj'!U52+'Pro Forma Adj'!U52</f>
        <v>0</v>
      </c>
      <c r="V52" s="79">
        <f>'Restating Adj'!V52+'Pro Forma Adj'!V52</f>
        <v>0</v>
      </c>
      <c r="W52" s="79">
        <f>'Restating Adj'!W52+'Pro Forma Adj'!W52</f>
        <v>0</v>
      </c>
      <c r="X52" s="80">
        <f>'Restating Adj'!X52+'Pro Forma Adj'!X52</f>
        <v>0</v>
      </c>
      <c r="Y52" s="275">
        <f>'Restating Adj'!Y52+'Pro Forma Adj'!Y52</f>
        <v>0</v>
      </c>
      <c r="Z52" s="30">
        <f>'Restating Adj'!Z52+'Pro Forma Adj'!Z52</f>
        <v>0</v>
      </c>
      <c r="AA52" s="79">
        <f>'Restating Adj'!AA52+'Pro Forma Adj'!AA52</f>
        <v>0</v>
      </c>
      <c r="AB52" s="79">
        <f>'Restating Adj'!AB52+'Pro Forma Adj'!AB52</f>
        <v>0</v>
      </c>
      <c r="AC52" s="80">
        <f>'Restating Adj'!AC52+'Pro Forma Adj'!AC52</f>
        <v>0</v>
      </c>
      <c r="AD52" s="30">
        <f>'Restating Adj'!AD52+'Pro Forma Adj'!AD52</f>
        <v>0</v>
      </c>
      <c r="AE52" s="80">
        <f>'Restating Adj'!AE52+'Pro Forma Adj'!AE52</f>
        <v>0</v>
      </c>
      <c r="AF52" s="30">
        <f>'Restating Adj'!AF52+'Pro Forma Adj'!AF52</f>
        <v>0</v>
      </c>
      <c r="AG52" s="79">
        <f>'Restating Adj'!AG52+'Pro Forma Adj'!AG52</f>
        <v>0</v>
      </c>
      <c r="AH52" s="79">
        <f>'Restating Adj'!AH52+'Pro Forma Adj'!AH52</f>
        <v>0</v>
      </c>
      <c r="AI52" s="79">
        <f>'Restating Adj'!AI52+'Pro Forma Adj'!AI52</f>
        <v>0</v>
      </c>
      <c r="AJ52" s="79">
        <f>'Restating Adj'!AJ52+'Pro Forma Adj'!AJ52</f>
        <v>0</v>
      </c>
      <c r="AK52" s="80">
        <f>'Restating Adj'!AK52+'Pro Forma Adj'!AK52</f>
        <v>0</v>
      </c>
      <c r="AL52" s="30">
        <f>'Restating Adj'!AL52+'Pro Forma Adj'!AL52</f>
        <v>0</v>
      </c>
      <c r="AM52" s="79">
        <f>'Restating Adj'!AM52+'Pro Forma Adj'!AM52</f>
        <v>0</v>
      </c>
      <c r="AN52" s="79">
        <f>'Restating Adj'!AN52+'Pro Forma Adj'!AN52</f>
        <v>0</v>
      </c>
      <c r="AO52" s="80">
        <f>'Restating Adj'!AO52+'Pro Forma Adj'!AO52</f>
        <v>0</v>
      </c>
      <c r="AP52" s="30">
        <f>'Restating Adj'!AP52+'Pro Forma Adj'!AP52</f>
        <v>0</v>
      </c>
      <c r="AQ52" s="80">
        <f>'Restating Adj'!AQ52+'Pro Forma Adj'!AQ52</f>
        <v>0</v>
      </c>
      <c r="AR52" s="30">
        <f>'Restating Adj'!AR52+'Pro Forma Adj'!AR52</f>
        <v>0</v>
      </c>
      <c r="AS52" s="79">
        <f>'Restating Adj'!AS52+'Pro Forma Adj'!AS52</f>
        <v>0</v>
      </c>
      <c r="AT52" s="79">
        <f>'Restating Adj'!AT52+'Pro Forma Adj'!AT52</f>
        <v>0</v>
      </c>
      <c r="AU52" s="79">
        <f>'Restating Adj'!AU52+'Pro Forma Adj'!AU52</f>
        <v>0</v>
      </c>
      <c r="AV52" s="79">
        <f>'Restating Adj'!AV52+'Pro Forma Adj'!AV52</f>
        <v>0</v>
      </c>
      <c r="AW52" s="80">
        <f>'Restating Adj'!AW52+'Pro Forma Adj'!AW52</f>
        <v>0</v>
      </c>
      <c r="AX52" s="30">
        <f>'Restating Adj'!AX52+'Pro Forma Adj'!AX52</f>
        <v>0</v>
      </c>
      <c r="AY52" s="79">
        <f>'Restating Adj'!AY52+'Pro Forma Adj'!AY52</f>
        <v>0</v>
      </c>
      <c r="AZ52" s="79">
        <f>'Restating Adj'!AZ52+'Pro Forma Adj'!AZ52</f>
        <v>0</v>
      </c>
      <c r="BA52" s="79">
        <f>'Restating Adj'!BA52+'Pro Forma Adj'!BA52</f>
        <v>0</v>
      </c>
      <c r="BB52" s="79">
        <f>'Restating Adj'!BB52+'Pro Forma Adj'!BB52</f>
        <v>0</v>
      </c>
      <c r="BC52" s="80">
        <f>'Restating Adj'!BC52+'Pro Forma Adj'!BC52</f>
        <v>0</v>
      </c>
      <c r="BD52" s="30">
        <f>'Restating Adj'!BD52+'Pro Forma Adj'!BD52</f>
        <v>0</v>
      </c>
      <c r="BE52" s="79">
        <f>'Restating Adj'!BE52+'Pro Forma Adj'!BE52</f>
        <v>0</v>
      </c>
      <c r="BF52" s="79">
        <f>'Restating Adj'!BF52+'Pro Forma Adj'!BF52</f>
        <v>0</v>
      </c>
      <c r="BG52" s="80">
        <f>'Restating Adj'!BG52+'Pro Forma Adj'!BG52</f>
        <v>0</v>
      </c>
    </row>
    <row r="53" spans="1:59" x14ac:dyDescent="0.2">
      <c r="A53" s="14" t="s">
        <v>84</v>
      </c>
      <c r="B53" s="29">
        <f t="shared" si="41"/>
        <v>0</v>
      </c>
      <c r="C53" s="30">
        <f>'Restating Adj'!C53+'Pro Forma Adj'!C53</f>
        <v>0</v>
      </c>
      <c r="D53" s="79">
        <f>'Restating Adj'!D53+'Pro Forma Adj'!D53</f>
        <v>0</v>
      </c>
      <c r="E53" s="79">
        <f>'Restating Adj'!E53+'Pro Forma Adj'!E53</f>
        <v>0</v>
      </c>
      <c r="F53" s="80">
        <f>'Restating Adj'!F53+'Pro Forma Adj'!F53</f>
        <v>0</v>
      </c>
      <c r="G53" s="275">
        <f>'Restating Adj'!G53+'Pro Forma Adj'!G53</f>
        <v>0</v>
      </c>
      <c r="H53" s="30">
        <f>'Restating Adj'!H53+'Pro Forma Adj'!H53</f>
        <v>0</v>
      </c>
      <c r="I53" s="79">
        <f>'Restating Adj'!I53+'Pro Forma Adj'!I53</f>
        <v>0</v>
      </c>
      <c r="J53" s="79">
        <f>'Restating Adj'!J53+'Pro Forma Adj'!J53</f>
        <v>0</v>
      </c>
      <c r="K53" s="79">
        <f>'Restating Adj'!K53+'Pro Forma Adj'!K53</f>
        <v>0</v>
      </c>
      <c r="L53" s="79">
        <f>'Restating Adj'!L53+'Pro Forma Adj'!L53</f>
        <v>0</v>
      </c>
      <c r="M53" s="80">
        <f>'Restating Adj'!M53+'Pro Forma Adj'!M53</f>
        <v>0</v>
      </c>
      <c r="N53" s="30">
        <f>'Restating Adj'!N53+'Pro Forma Adj'!N53</f>
        <v>0</v>
      </c>
      <c r="O53" s="79">
        <f>'Restating Adj'!O53+'Pro Forma Adj'!O53</f>
        <v>0</v>
      </c>
      <c r="P53" s="79">
        <f>'Restating Adj'!P53+'Pro Forma Adj'!P53</f>
        <v>0</v>
      </c>
      <c r="Q53" s="79">
        <f>'Restating Adj'!Q53+'Pro Forma Adj'!Q53</f>
        <v>0</v>
      </c>
      <c r="R53" s="79">
        <f>'Restating Adj'!R53+'Pro Forma Adj'!R53</f>
        <v>0</v>
      </c>
      <c r="S53" s="80">
        <f>'Restating Adj'!S53+'Pro Forma Adj'!S53</f>
        <v>0</v>
      </c>
      <c r="T53" s="30">
        <f>'Restating Adj'!T53+'Pro Forma Adj'!T53</f>
        <v>0</v>
      </c>
      <c r="U53" s="79">
        <f>'Restating Adj'!U53+'Pro Forma Adj'!U53</f>
        <v>0</v>
      </c>
      <c r="V53" s="79">
        <f>'Restating Adj'!V53+'Pro Forma Adj'!V53</f>
        <v>0</v>
      </c>
      <c r="W53" s="79">
        <f>'Restating Adj'!W53+'Pro Forma Adj'!W53</f>
        <v>0</v>
      </c>
      <c r="X53" s="80">
        <f>'Restating Adj'!X53+'Pro Forma Adj'!X53</f>
        <v>0</v>
      </c>
      <c r="Y53" s="275">
        <f>'Restating Adj'!Y53+'Pro Forma Adj'!Y53</f>
        <v>0</v>
      </c>
      <c r="Z53" s="30">
        <f>'Restating Adj'!Z53+'Pro Forma Adj'!Z53</f>
        <v>0</v>
      </c>
      <c r="AA53" s="79">
        <f>'Restating Adj'!AA53+'Pro Forma Adj'!AA53</f>
        <v>0</v>
      </c>
      <c r="AB53" s="79">
        <f>'Restating Adj'!AB53+'Pro Forma Adj'!AB53</f>
        <v>0</v>
      </c>
      <c r="AC53" s="80">
        <f>'Restating Adj'!AC53+'Pro Forma Adj'!AC53</f>
        <v>0</v>
      </c>
      <c r="AD53" s="30">
        <f>'Restating Adj'!AD53+'Pro Forma Adj'!AD53</f>
        <v>0</v>
      </c>
      <c r="AE53" s="80">
        <f>'Restating Adj'!AE53+'Pro Forma Adj'!AE53</f>
        <v>0</v>
      </c>
      <c r="AF53" s="30">
        <f>'Restating Adj'!AF53+'Pro Forma Adj'!AF53</f>
        <v>0</v>
      </c>
      <c r="AG53" s="79">
        <f>'Restating Adj'!AG53+'Pro Forma Adj'!AG53</f>
        <v>0</v>
      </c>
      <c r="AH53" s="79">
        <f>'Restating Adj'!AH53+'Pro Forma Adj'!AH53</f>
        <v>0</v>
      </c>
      <c r="AI53" s="79">
        <f>'Restating Adj'!AI53+'Pro Forma Adj'!AI53</f>
        <v>0</v>
      </c>
      <c r="AJ53" s="79">
        <f>'Restating Adj'!AJ53+'Pro Forma Adj'!AJ53</f>
        <v>0</v>
      </c>
      <c r="AK53" s="80">
        <f>'Restating Adj'!AK53+'Pro Forma Adj'!AK53</f>
        <v>0</v>
      </c>
      <c r="AL53" s="30">
        <f>'Restating Adj'!AL53+'Pro Forma Adj'!AL53</f>
        <v>0</v>
      </c>
      <c r="AM53" s="79">
        <f>'Restating Adj'!AM53+'Pro Forma Adj'!AM53</f>
        <v>0</v>
      </c>
      <c r="AN53" s="79">
        <f>'Restating Adj'!AN53+'Pro Forma Adj'!AN53</f>
        <v>0</v>
      </c>
      <c r="AO53" s="80">
        <f>'Restating Adj'!AO53+'Pro Forma Adj'!AO53</f>
        <v>0</v>
      </c>
      <c r="AP53" s="30">
        <f>'Restating Adj'!AP53+'Pro Forma Adj'!AP53</f>
        <v>0</v>
      </c>
      <c r="AQ53" s="80">
        <f>'Restating Adj'!AQ53+'Pro Forma Adj'!AQ53</f>
        <v>0</v>
      </c>
      <c r="AR53" s="30">
        <f>'Restating Adj'!AR53+'Pro Forma Adj'!AR53</f>
        <v>0</v>
      </c>
      <c r="AS53" s="79">
        <f>'Restating Adj'!AS53+'Pro Forma Adj'!AS53</f>
        <v>0</v>
      </c>
      <c r="AT53" s="79">
        <f>'Restating Adj'!AT53+'Pro Forma Adj'!AT53</f>
        <v>0</v>
      </c>
      <c r="AU53" s="79">
        <f>'Restating Adj'!AU53+'Pro Forma Adj'!AU53</f>
        <v>0</v>
      </c>
      <c r="AV53" s="79">
        <f>'Restating Adj'!AV53+'Pro Forma Adj'!AV53</f>
        <v>0</v>
      </c>
      <c r="AW53" s="80">
        <f>'Restating Adj'!AW53+'Pro Forma Adj'!AW53</f>
        <v>0</v>
      </c>
      <c r="AX53" s="30">
        <f>'Restating Adj'!AX53+'Pro Forma Adj'!AX53</f>
        <v>0</v>
      </c>
      <c r="AY53" s="79">
        <f>'Restating Adj'!AY53+'Pro Forma Adj'!AY53</f>
        <v>0</v>
      </c>
      <c r="AZ53" s="79">
        <f>'Restating Adj'!AZ53+'Pro Forma Adj'!AZ53</f>
        <v>0</v>
      </c>
      <c r="BA53" s="79">
        <f>'Restating Adj'!BA53+'Pro Forma Adj'!BA53</f>
        <v>0</v>
      </c>
      <c r="BB53" s="79">
        <f>'Restating Adj'!BB53+'Pro Forma Adj'!BB53</f>
        <v>0</v>
      </c>
      <c r="BC53" s="80">
        <f>'Restating Adj'!BC53+'Pro Forma Adj'!BC53</f>
        <v>0</v>
      </c>
      <c r="BD53" s="30">
        <f>'Restating Adj'!BD53+'Pro Forma Adj'!BD53</f>
        <v>0</v>
      </c>
      <c r="BE53" s="79">
        <f>'Restating Adj'!BE53+'Pro Forma Adj'!BE53</f>
        <v>0</v>
      </c>
      <c r="BF53" s="79">
        <f>'Restating Adj'!BF53+'Pro Forma Adj'!BF53</f>
        <v>0</v>
      </c>
      <c r="BG53" s="80">
        <f>'Restating Adj'!BG53+'Pro Forma Adj'!BG53</f>
        <v>0</v>
      </c>
    </row>
    <row r="54" spans="1:59" x14ac:dyDescent="0.2">
      <c r="A54" s="14" t="s">
        <v>85</v>
      </c>
      <c r="B54" s="34">
        <f t="shared" si="41"/>
        <v>225471324.29333192</v>
      </c>
      <c r="C54" s="34">
        <f>SUM(C43:C53)</f>
        <v>0</v>
      </c>
      <c r="D54" s="90">
        <f t="shared" ref="D54:AS54" si="42">SUM(D43:D53)</f>
        <v>0</v>
      </c>
      <c r="E54" s="90">
        <f t="shared" si="42"/>
        <v>0</v>
      </c>
      <c r="F54" s="91">
        <f t="shared" si="42"/>
        <v>0</v>
      </c>
      <c r="G54" s="153">
        <f t="shared" si="42"/>
        <v>0</v>
      </c>
      <c r="H54" s="34">
        <f t="shared" si="42"/>
        <v>0</v>
      </c>
      <c r="I54" s="90">
        <f t="shared" si="42"/>
        <v>0</v>
      </c>
      <c r="J54" s="90">
        <f t="shared" si="42"/>
        <v>0</v>
      </c>
      <c r="K54" s="90">
        <f t="shared" si="42"/>
        <v>0</v>
      </c>
      <c r="L54" s="90">
        <f t="shared" si="42"/>
        <v>0</v>
      </c>
      <c r="M54" s="91">
        <f t="shared" si="42"/>
        <v>0</v>
      </c>
      <c r="N54" s="34">
        <f t="shared" si="42"/>
        <v>0</v>
      </c>
      <c r="O54" s="90">
        <f t="shared" si="42"/>
        <v>0</v>
      </c>
      <c r="P54" s="90">
        <f t="shared" si="42"/>
        <v>0</v>
      </c>
      <c r="Q54" s="90">
        <f t="shared" si="42"/>
        <v>0</v>
      </c>
      <c r="R54" s="90">
        <f t="shared" si="42"/>
        <v>0</v>
      </c>
      <c r="S54" s="91">
        <f t="shared" si="42"/>
        <v>0</v>
      </c>
      <c r="T54" s="34">
        <f t="shared" ref="T54:U54" si="43">SUM(T43:T53)</f>
        <v>0</v>
      </c>
      <c r="U54" s="90">
        <f t="shared" si="43"/>
        <v>0</v>
      </c>
      <c r="V54" s="90">
        <f t="shared" ref="V54:W54" si="44">SUM(V43:V53)</f>
        <v>-27627626.061196692</v>
      </c>
      <c r="W54" s="90">
        <f t="shared" si="44"/>
        <v>0</v>
      </c>
      <c r="X54" s="91">
        <f t="shared" ref="X54" si="45">SUM(X43:X53)</f>
        <v>312444.16559885937</v>
      </c>
      <c r="Y54" s="153">
        <f t="shared" si="42"/>
        <v>0</v>
      </c>
      <c r="Z54" s="34">
        <f t="shared" si="42"/>
        <v>0</v>
      </c>
      <c r="AA54" s="90">
        <f t="shared" si="42"/>
        <v>0</v>
      </c>
      <c r="AB54" s="90">
        <f t="shared" si="42"/>
        <v>0</v>
      </c>
      <c r="AC54" s="91">
        <f t="shared" ref="AC54" si="46">SUM(AC43:AC53)</f>
        <v>0</v>
      </c>
      <c r="AD54" s="34">
        <f t="shared" si="42"/>
        <v>0</v>
      </c>
      <c r="AE54" s="91">
        <f t="shared" si="42"/>
        <v>0</v>
      </c>
      <c r="AF54" s="34">
        <f t="shared" si="42"/>
        <v>0</v>
      </c>
      <c r="AG54" s="90">
        <f t="shared" si="42"/>
        <v>0</v>
      </c>
      <c r="AH54" s="90">
        <f t="shared" si="42"/>
        <v>0</v>
      </c>
      <c r="AI54" s="90">
        <f t="shared" si="42"/>
        <v>0</v>
      </c>
      <c r="AJ54" s="90">
        <f t="shared" si="42"/>
        <v>0</v>
      </c>
      <c r="AK54" s="91">
        <f t="shared" si="42"/>
        <v>0</v>
      </c>
      <c r="AL54" s="34">
        <f t="shared" si="42"/>
        <v>0</v>
      </c>
      <c r="AM54" s="90">
        <f t="shared" ref="AM54:AO54" si="47">SUM(AM43:AM53)</f>
        <v>0</v>
      </c>
      <c r="AN54" s="90">
        <f t="shared" si="47"/>
        <v>0</v>
      </c>
      <c r="AO54" s="91">
        <f t="shared" si="47"/>
        <v>0</v>
      </c>
      <c r="AP54" s="34">
        <f t="shared" si="42"/>
        <v>68832841.023568198</v>
      </c>
      <c r="AQ54" s="91">
        <f t="shared" si="42"/>
        <v>141430.18583333335</v>
      </c>
      <c r="AR54" s="34">
        <f t="shared" si="42"/>
        <v>0</v>
      </c>
      <c r="AS54" s="90">
        <f t="shared" si="42"/>
        <v>72054929.707660571</v>
      </c>
      <c r="AT54" s="90">
        <f t="shared" ref="AT54:BB54" si="48">SUM(AT43:AT53)</f>
        <v>-23845542.628577113</v>
      </c>
      <c r="AU54" s="90">
        <f t="shared" si="48"/>
        <v>-119616.25699999859</v>
      </c>
      <c r="AV54" s="90">
        <f t="shared" si="48"/>
        <v>0</v>
      </c>
      <c r="AW54" s="91">
        <f t="shared" si="48"/>
        <v>23459504.952026334</v>
      </c>
      <c r="AX54" s="34">
        <f t="shared" si="48"/>
        <v>-49971970.412456051</v>
      </c>
      <c r="AY54" s="90">
        <f t="shared" si="48"/>
        <v>26891641.18377804</v>
      </c>
      <c r="AZ54" s="90">
        <f t="shared" si="48"/>
        <v>11783530.126723802</v>
      </c>
      <c r="BA54" s="90">
        <f t="shared" si="48"/>
        <v>-10956613.03877151</v>
      </c>
      <c r="BB54" s="90">
        <f t="shared" si="48"/>
        <v>189042406.43604827</v>
      </c>
      <c r="BC54" s="91">
        <f t="shared" ref="BC54" si="49">SUM(BC43:BC53)</f>
        <v>0</v>
      </c>
      <c r="BD54" s="34">
        <f t="shared" ref="BD54:BG54" si="50">SUM(BD43:BD53)</f>
        <v>-2784664.3282427858</v>
      </c>
      <c r="BE54" s="90">
        <f t="shared" si="50"/>
        <v>-97344025.721295178</v>
      </c>
      <c r="BF54" s="90">
        <f t="shared" si="50"/>
        <v>1528890.0839013197</v>
      </c>
      <c r="BG54" s="91">
        <f t="shared" si="50"/>
        <v>44073764.875732519</v>
      </c>
    </row>
    <row r="55" spans="1:59" x14ac:dyDescent="0.2">
      <c r="A55" s="14"/>
      <c r="B55" s="28"/>
      <c r="C55" s="28"/>
      <c r="D55" s="12"/>
      <c r="E55" s="12"/>
      <c r="F55" s="75"/>
      <c r="G55" s="76"/>
      <c r="H55" s="28"/>
      <c r="I55" s="12"/>
      <c r="J55" s="12"/>
      <c r="K55" s="12"/>
      <c r="L55" s="12"/>
      <c r="M55" s="75"/>
      <c r="N55" s="28"/>
      <c r="O55" s="12"/>
      <c r="P55" s="12"/>
      <c r="Q55" s="12"/>
      <c r="R55" s="12"/>
      <c r="S55" s="75"/>
      <c r="T55" s="28"/>
      <c r="U55" s="12"/>
      <c r="V55" s="12"/>
      <c r="W55" s="12"/>
      <c r="X55" s="75"/>
      <c r="Y55" s="76"/>
      <c r="Z55" s="28"/>
      <c r="AA55" s="12"/>
      <c r="AB55" s="12"/>
      <c r="AC55" s="75"/>
      <c r="AD55" s="28"/>
      <c r="AE55" s="75"/>
      <c r="AF55" s="28"/>
      <c r="AG55" s="12"/>
      <c r="AH55" s="12"/>
      <c r="AI55" s="12"/>
      <c r="AJ55" s="12"/>
      <c r="AK55" s="75"/>
      <c r="AL55" s="28"/>
      <c r="AM55" s="12"/>
      <c r="AN55" s="12"/>
      <c r="AO55" s="75"/>
      <c r="AP55" s="28"/>
      <c r="AQ55" s="75"/>
      <c r="AR55" s="28"/>
      <c r="AS55" s="12"/>
      <c r="AT55" s="12"/>
      <c r="AU55" s="12"/>
      <c r="AV55" s="12"/>
      <c r="AW55" s="75"/>
      <c r="AX55" s="28"/>
      <c r="AY55" s="12"/>
      <c r="AZ55" s="12"/>
      <c r="BA55" s="12"/>
      <c r="BB55" s="12"/>
      <c r="BC55" s="75"/>
      <c r="BD55" s="28"/>
      <c r="BE55" s="12"/>
      <c r="BF55" s="12"/>
      <c r="BG55" s="75"/>
    </row>
    <row r="56" spans="1:59" x14ac:dyDescent="0.2">
      <c r="A56" s="14" t="s">
        <v>86</v>
      </c>
      <c r="B56" s="28">
        <f t="shared" ref="B56" si="51">SUM(C56:BB56)</f>
        <v>0</v>
      </c>
      <c r="C56" s="28"/>
      <c r="D56" s="12"/>
      <c r="E56" s="12"/>
      <c r="F56" s="75"/>
      <c r="G56" s="76"/>
      <c r="H56" s="28"/>
      <c r="I56" s="12"/>
      <c r="J56" s="12"/>
      <c r="K56" s="12"/>
      <c r="L56" s="12"/>
      <c r="M56" s="75"/>
      <c r="N56" s="28"/>
      <c r="O56" s="12"/>
      <c r="P56" s="12"/>
      <c r="Q56" s="12"/>
      <c r="R56" s="12"/>
      <c r="S56" s="75"/>
      <c r="T56" s="28"/>
      <c r="U56" s="12"/>
      <c r="V56" s="12"/>
      <c r="W56" s="12"/>
      <c r="X56" s="75"/>
      <c r="Y56" s="76"/>
      <c r="Z56" s="28"/>
      <c r="AA56" s="12"/>
      <c r="AB56" s="12"/>
      <c r="AC56" s="75"/>
      <c r="AD56" s="28"/>
      <c r="AE56" s="75"/>
      <c r="AF56" s="28"/>
      <c r="AG56" s="12"/>
      <c r="AH56" s="12"/>
      <c r="AI56" s="12"/>
      <c r="AJ56" s="12"/>
      <c r="AK56" s="75"/>
      <c r="AL56" s="28"/>
      <c r="AM56" s="12"/>
      <c r="AN56" s="12"/>
      <c r="AO56" s="75"/>
      <c r="AP56" s="28"/>
      <c r="AQ56" s="75"/>
      <c r="AR56" s="28"/>
      <c r="AS56" s="12"/>
      <c r="AT56" s="12"/>
      <c r="AU56" s="12"/>
      <c r="AV56" s="12"/>
      <c r="AW56" s="75"/>
      <c r="AX56" s="28"/>
      <c r="AY56" s="12"/>
      <c r="AZ56" s="12"/>
      <c r="BA56" s="12"/>
      <c r="BB56" s="12"/>
      <c r="BC56" s="75"/>
      <c r="BD56" s="28"/>
      <c r="BE56" s="12"/>
      <c r="BF56" s="12"/>
      <c r="BG56" s="75"/>
    </row>
    <row r="57" spans="1:59" x14ac:dyDescent="0.2">
      <c r="A57" s="14" t="s">
        <v>87</v>
      </c>
      <c r="B57" s="29">
        <f t="shared" ref="B57:B65" si="52">SUM(C57:BG57)</f>
        <v>-15483920.070655286</v>
      </c>
      <c r="C57" s="30">
        <f>'Restating Adj'!C57+'Pro Forma Adj'!C57</f>
        <v>0</v>
      </c>
      <c r="D57" s="79">
        <f>'Restating Adj'!D57+'Pro Forma Adj'!D57</f>
        <v>0</v>
      </c>
      <c r="E57" s="79">
        <f>'Restating Adj'!E57+'Pro Forma Adj'!E57</f>
        <v>0</v>
      </c>
      <c r="F57" s="80">
        <f>'Restating Adj'!F57+'Pro Forma Adj'!F57</f>
        <v>0</v>
      </c>
      <c r="G57" s="275">
        <f>'Restating Adj'!G57+'Pro Forma Adj'!G57</f>
        <v>0</v>
      </c>
      <c r="H57" s="30">
        <f>'Restating Adj'!H57+'Pro Forma Adj'!H57</f>
        <v>0</v>
      </c>
      <c r="I57" s="79">
        <f>'Restating Adj'!I57+'Pro Forma Adj'!I57</f>
        <v>0</v>
      </c>
      <c r="J57" s="79">
        <f>'Restating Adj'!J57+'Pro Forma Adj'!J57</f>
        <v>0</v>
      </c>
      <c r="K57" s="79">
        <f>'Restating Adj'!K57+'Pro Forma Adj'!K57</f>
        <v>0</v>
      </c>
      <c r="L57" s="79">
        <f>'Restating Adj'!L57+'Pro Forma Adj'!L57</f>
        <v>0</v>
      </c>
      <c r="M57" s="80">
        <f>'Restating Adj'!M57+'Pro Forma Adj'!M57</f>
        <v>0</v>
      </c>
      <c r="N57" s="30">
        <f>'Restating Adj'!N57+'Pro Forma Adj'!N57</f>
        <v>0</v>
      </c>
      <c r="O57" s="79">
        <f>'Restating Adj'!O57+'Pro Forma Adj'!O57</f>
        <v>0</v>
      </c>
      <c r="P57" s="79">
        <f>'Restating Adj'!P57+'Pro Forma Adj'!P57</f>
        <v>0</v>
      </c>
      <c r="Q57" s="79">
        <f>'Restating Adj'!Q57+'Pro Forma Adj'!Q57</f>
        <v>0</v>
      </c>
      <c r="R57" s="79">
        <f>'Restating Adj'!R57+'Pro Forma Adj'!R57</f>
        <v>0</v>
      </c>
      <c r="S57" s="80">
        <f>'Restating Adj'!S57+'Pro Forma Adj'!S57</f>
        <v>0</v>
      </c>
      <c r="T57" s="30">
        <f>'Restating Adj'!T57+'Pro Forma Adj'!T57</f>
        <v>0</v>
      </c>
      <c r="U57" s="79">
        <f>'Restating Adj'!U57+'Pro Forma Adj'!U57</f>
        <v>0</v>
      </c>
      <c r="V57" s="79">
        <f>'Restating Adj'!V57+'Pro Forma Adj'!V57</f>
        <v>20667243.049652372</v>
      </c>
      <c r="W57" s="79">
        <f>'Restating Adj'!W57+'Pro Forma Adj'!W57</f>
        <v>0</v>
      </c>
      <c r="X57" s="80">
        <f>'Restating Adj'!X57+'Pro Forma Adj'!X57</f>
        <v>0</v>
      </c>
      <c r="Y57" s="275">
        <f>'Restating Adj'!Y57+'Pro Forma Adj'!Y57</f>
        <v>0</v>
      </c>
      <c r="Z57" s="30">
        <f>'Restating Adj'!Z57+'Pro Forma Adj'!Z57</f>
        <v>-51891710.883360811</v>
      </c>
      <c r="AA57" s="79">
        <f>'Restating Adj'!AA57+'Pro Forma Adj'!AA57</f>
        <v>-16699601.50878338</v>
      </c>
      <c r="AB57" s="79">
        <f>'Restating Adj'!AB57+'Pro Forma Adj'!AB57</f>
        <v>-32255874.709358472</v>
      </c>
      <c r="AC57" s="80">
        <f>'Restating Adj'!AC57+'Pro Forma Adj'!AC57</f>
        <v>-1313849.1473851958</v>
      </c>
      <c r="AD57" s="30">
        <f>'Restating Adj'!AD57+'Pro Forma Adj'!AD57</f>
        <v>0</v>
      </c>
      <c r="AE57" s="80">
        <f>'Restating Adj'!AE57+'Pro Forma Adj'!AE57</f>
        <v>0</v>
      </c>
      <c r="AF57" s="30">
        <f>'Restating Adj'!AF57+'Pro Forma Adj'!AF57</f>
        <v>0</v>
      </c>
      <c r="AG57" s="79">
        <f>'Restating Adj'!AG57+'Pro Forma Adj'!AG57</f>
        <v>0</v>
      </c>
      <c r="AH57" s="79">
        <f>'Restating Adj'!AH57+'Pro Forma Adj'!AH57</f>
        <v>0</v>
      </c>
      <c r="AI57" s="79">
        <f>'Restating Adj'!AI57+'Pro Forma Adj'!AI57</f>
        <v>0</v>
      </c>
      <c r="AJ57" s="79">
        <f>'Restating Adj'!AJ57+'Pro Forma Adj'!AJ57</f>
        <v>0</v>
      </c>
      <c r="AK57" s="80">
        <f>'Restating Adj'!AK57+'Pro Forma Adj'!AK57</f>
        <v>0</v>
      </c>
      <c r="AL57" s="30">
        <f>'Restating Adj'!AL57+'Pro Forma Adj'!AL57</f>
        <v>0</v>
      </c>
      <c r="AM57" s="79">
        <f>'Restating Adj'!AM57+'Pro Forma Adj'!AM57</f>
        <v>0</v>
      </c>
      <c r="AN57" s="79">
        <f>'Restating Adj'!AN57+'Pro Forma Adj'!AN57</f>
        <v>0</v>
      </c>
      <c r="AO57" s="80">
        <f>'Restating Adj'!AO57+'Pro Forma Adj'!AO57</f>
        <v>0</v>
      </c>
      <c r="AP57" s="30">
        <f>'Restating Adj'!AP57+'Pro Forma Adj'!AP57</f>
        <v>-57337030.203123763</v>
      </c>
      <c r="AQ57" s="80">
        <f>'Restating Adj'!AQ57+'Pro Forma Adj'!AQ57</f>
        <v>0</v>
      </c>
      <c r="AR57" s="30">
        <f>'Restating Adj'!AR57+'Pro Forma Adj'!AR57</f>
        <v>0</v>
      </c>
      <c r="AS57" s="79">
        <f>'Restating Adj'!AS57+'Pro Forma Adj'!AS57</f>
        <v>0</v>
      </c>
      <c r="AT57" s="79">
        <f>'Restating Adj'!AT57+'Pro Forma Adj'!AT57</f>
        <v>0</v>
      </c>
      <c r="AU57" s="79">
        <f>'Restating Adj'!AU57+'Pro Forma Adj'!AU57</f>
        <v>0</v>
      </c>
      <c r="AV57" s="79">
        <f>'Restating Adj'!AV57+'Pro Forma Adj'!AV57</f>
        <v>0</v>
      </c>
      <c r="AW57" s="80">
        <f>'Restating Adj'!AW57+'Pro Forma Adj'!AW57</f>
        <v>0</v>
      </c>
      <c r="AX57" s="30">
        <f>'Restating Adj'!AX57+'Pro Forma Adj'!AX57</f>
        <v>6213656.3109199563</v>
      </c>
      <c r="AY57" s="79">
        <f>'Restating Adj'!AY57+'Pro Forma Adj'!AY57</f>
        <v>0</v>
      </c>
      <c r="AZ57" s="79">
        <f>'Restating Adj'!AZ57+'Pro Forma Adj'!AZ57</f>
        <v>-5439564.0626561325</v>
      </c>
      <c r="BA57" s="79">
        <f>'Restating Adj'!BA57+'Pro Forma Adj'!BA57</f>
        <v>98064728.905458614</v>
      </c>
      <c r="BB57" s="79">
        <f>'Restating Adj'!BB57+'Pro Forma Adj'!BB57</f>
        <v>-236426.68759947666</v>
      </c>
      <c r="BC57" s="80">
        <f>'Restating Adj'!BC57+'Pro Forma Adj'!BC57</f>
        <v>0</v>
      </c>
      <c r="BD57" s="30">
        <f>'Restating Adj'!BD57+'Pro Forma Adj'!BD57</f>
        <v>-1644071.308749404</v>
      </c>
      <c r="BE57" s="79">
        <f>'Restating Adj'!BE57+'Pro Forma Adj'!BE57</f>
        <v>31076468.458723873</v>
      </c>
      <c r="BF57" s="79">
        <f>'Restating Adj'!BF57+'Pro Forma Adj'!BF57</f>
        <v>-58067.818726323545</v>
      </c>
      <c r="BG57" s="80">
        <f>'Restating Adj'!BG57+'Pro Forma Adj'!BG57</f>
        <v>-4629820.4656671509</v>
      </c>
    </row>
    <row r="58" spans="1:59" x14ac:dyDescent="0.2">
      <c r="A58" s="14" t="s">
        <v>88</v>
      </c>
      <c r="B58" s="29">
        <f t="shared" si="52"/>
        <v>-320002.38537559565</v>
      </c>
      <c r="C58" s="30">
        <f>'Restating Adj'!C58+'Pro Forma Adj'!C58</f>
        <v>0</v>
      </c>
      <c r="D58" s="79">
        <f>'Restating Adj'!D58+'Pro Forma Adj'!D58</f>
        <v>0</v>
      </c>
      <c r="E58" s="79">
        <f>'Restating Adj'!E58+'Pro Forma Adj'!E58</f>
        <v>0</v>
      </c>
      <c r="F58" s="80">
        <f>'Restating Adj'!F58+'Pro Forma Adj'!F58</f>
        <v>0</v>
      </c>
      <c r="G58" s="275">
        <f>'Restating Adj'!G58+'Pro Forma Adj'!G58</f>
        <v>0</v>
      </c>
      <c r="H58" s="30">
        <f>'Restating Adj'!H58+'Pro Forma Adj'!H58</f>
        <v>0</v>
      </c>
      <c r="I58" s="79">
        <f>'Restating Adj'!I58+'Pro Forma Adj'!I58</f>
        <v>0</v>
      </c>
      <c r="J58" s="79">
        <f>'Restating Adj'!J58+'Pro Forma Adj'!J58</f>
        <v>0</v>
      </c>
      <c r="K58" s="79">
        <f>'Restating Adj'!K58+'Pro Forma Adj'!K58</f>
        <v>0</v>
      </c>
      <c r="L58" s="79">
        <f>'Restating Adj'!L58+'Pro Forma Adj'!L58</f>
        <v>0</v>
      </c>
      <c r="M58" s="80">
        <f>'Restating Adj'!M58+'Pro Forma Adj'!M58</f>
        <v>0</v>
      </c>
      <c r="N58" s="30">
        <f>'Restating Adj'!N58+'Pro Forma Adj'!N58</f>
        <v>0</v>
      </c>
      <c r="O58" s="79">
        <f>'Restating Adj'!O58+'Pro Forma Adj'!O58</f>
        <v>0</v>
      </c>
      <c r="P58" s="79">
        <f>'Restating Adj'!P58+'Pro Forma Adj'!P58</f>
        <v>0</v>
      </c>
      <c r="Q58" s="79">
        <f>'Restating Adj'!Q58+'Pro Forma Adj'!Q58</f>
        <v>0</v>
      </c>
      <c r="R58" s="79">
        <f>'Restating Adj'!R58+'Pro Forma Adj'!R58</f>
        <v>0</v>
      </c>
      <c r="S58" s="80">
        <f>'Restating Adj'!S58+'Pro Forma Adj'!S58</f>
        <v>0</v>
      </c>
      <c r="T58" s="30">
        <f>'Restating Adj'!T58+'Pro Forma Adj'!T58</f>
        <v>0</v>
      </c>
      <c r="U58" s="79">
        <f>'Restating Adj'!U58+'Pro Forma Adj'!U58</f>
        <v>0</v>
      </c>
      <c r="V58" s="79">
        <f>'Restating Adj'!V58+'Pro Forma Adj'!V58</f>
        <v>0</v>
      </c>
      <c r="W58" s="79">
        <f>'Restating Adj'!W58+'Pro Forma Adj'!W58</f>
        <v>0</v>
      </c>
      <c r="X58" s="80">
        <f>'Restating Adj'!X58+'Pro Forma Adj'!X58</f>
        <v>-399.52501906083393</v>
      </c>
      <c r="Y58" s="275">
        <f>'Restating Adj'!Y58+'Pro Forma Adj'!Y58</f>
        <v>0</v>
      </c>
      <c r="Z58" s="30">
        <f>'Restating Adj'!Z58+'Pro Forma Adj'!Z58</f>
        <v>-3245560.5775700584</v>
      </c>
      <c r="AA58" s="79">
        <f>'Restating Adj'!AA58+'Pro Forma Adj'!AA58</f>
        <v>-2423618.2104293355</v>
      </c>
      <c r="AB58" s="79">
        <f>'Restating Adj'!AB58+'Pro Forma Adj'!AB58</f>
        <v>0</v>
      </c>
      <c r="AC58" s="80">
        <f>'Restating Adj'!AC58+'Pro Forma Adj'!AC58</f>
        <v>-13900.214829778943</v>
      </c>
      <c r="AD58" s="30">
        <f>'Restating Adj'!AD58+'Pro Forma Adj'!AD58</f>
        <v>0</v>
      </c>
      <c r="AE58" s="80">
        <f>'Restating Adj'!AE58+'Pro Forma Adj'!AE58</f>
        <v>0</v>
      </c>
      <c r="AF58" s="30">
        <f>'Restating Adj'!AF58+'Pro Forma Adj'!AF58</f>
        <v>0</v>
      </c>
      <c r="AG58" s="79">
        <f>'Restating Adj'!AG58+'Pro Forma Adj'!AG58</f>
        <v>0</v>
      </c>
      <c r="AH58" s="79">
        <f>'Restating Adj'!AH58+'Pro Forma Adj'!AH58</f>
        <v>0</v>
      </c>
      <c r="AI58" s="79">
        <f>'Restating Adj'!AI58+'Pro Forma Adj'!AI58</f>
        <v>0</v>
      </c>
      <c r="AJ58" s="79">
        <f>'Restating Adj'!AJ58+'Pro Forma Adj'!AJ58</f>
        <v>0</v>
      </c>
      <c r="AK58" s="80">
        <f>'Restating Adj'!AK58+'Pro Forma Adj'!AK58</f>
        <v>0</v>
      </c>
      <c r="AL58" s="30">
        <f>'Restating Adj'!AL58+'Pro Forma Adj'!AL58</f>
        <v>0</v>
      </c>
      <c r="AM58" s="79">
        <f>'Restating Adj'!AM58+'Pro Forma Adj'!AM58</f>
        <v>0</v>
      </c>
      <c r="AN58" s="79">
        <f>'Restating Adj'!AN58+'Pro Forma Adj'!AN58</f>
        <v>0</v>
      </c>
      <c r="AO58" s="80">
        <f>'Restating Adj'!AO58+'Pro Forma Adj'!AO58</f>
        <v>0</v>
      </c>
      <c r="AP58" s="30">
        <f>'Restating Adj'!AP58+'Pro Forma Adj'!AP58</f>
        <v>0</v>
      </c>
      <c r="AQ58" s="80">
        <f>'Restating Adj'!AQ58+'Pro Forma Adj'!AQ58</f>
        <v>0</v>
      </c>
      <c r="AR58" s="30">
        <f>'Restating Adj'!AR58+'Pro Forma Adj'!AR58</f>
        <v>0</v>
      </c>
      <c r="AS58" s="79">
        <f>'Restating Adj'!AS58+'Pro Forma Adj'!AS58</f>
        <v>0</v>
      </c>
      <c r="AT58" s="79">
        <f>'Restating Adj'!AT58+'Pro Forma Adj'!AT58</f>
        <v>0</v>
      </c>
      <c r="AU58" s="79">
        <f>'Restating Adj'!AU58+'Pro Forma Adj'!AU58</f>
        <v>0</v>
      </c>
      <c r="AV58" s="79">
        <f>'Restating Adj'!AV58+'Pro Forma Adj'!AV58</f>
        <v>0</v>
      </c>
      <c r="AW58" s="80">
        <f>'Restating Adj'!AW58+'Pro Forma Adj'!AW58</f>
        <v>0</v>
      </c>
      <c r="AX58" s="30">
        <f>'Restating Adj'!AX58+'Pro Forma Adj'!AX58</f>
        <v>0</v>
      </c>
      <c r="AY58" s="79">
        <f>'Restating Adj'!AY58+'Pro Forma Adj'!AY58</f>
        <v>0</v>
      </c>
      <c r="AZ58" s="79">
        <f>'Restating Adj'!AZ58+'Pro Forma Adj'!AZ58</f>
        <v>0</v>
      </c>
      <c r="BA58" s="79">
        <f>'Restating Adj'!BA58+'Pro Forma Adj'!BA58</f>
        <v>0</v>
      </c>
      <c r="BB58" s="79">
        <f>'Restating Adj'!BB58+'Pro Forma Adj'!BB58</f>
        <v>0</v>
      </c>
      <c r="BC58" s="80">
        <f>'Restating Adj'!BC58+'Pro Forma Adj'!BC58</f>
        <v>0</v>
      </c>
      <c r="BD58" s="30">
        <f>'Restating Adj'!BD58+'Pro Forma Adj'!BD58</f>
        <v>0</v>
      </c>
      <c r="BE58" s="79">
        <f>'Restating Adj'!BE58+'Pro Forma Adj'!BE58</f>
        <v>5363476.1424726378</v>
      </c>
      <c r="BF58" s="79">
        <f>'Restating Adj'!BF58+'Pro Forma Adj'!BF58</f>
        <v>0</v>
      </c>
      <c r="BG58" s="80">
        <f>'Restating Adj'!BG58+'Pro Forma Adj'!BG58</f>
        <v>0</v>
      </c>
    </row>
    <row r="59" spans="1:59" x14ac:dyDescent="0.2">
      <c r="A59" s="14" t="s">
        <v>89</v>
      </c>
      <c r="B59" s="29">
        <f t="shared" si="52"/>
        <v>51828263.954381183</v>
      </c>
      <c r="C59" s="30">
        <f>'Restating Adj'!C59+'Pro Forma Adj'!C59</f>
        <v>0</v>
      </c>
      <c r="D59" s="79">
        <f>'Restating Adj'!D59+'Pro Forma Adj'!D59</f>
        <v>0</v>
      </c>
      <c r="E59" s="79">
        <f>'Restating Adj'!E59+'Pro Forma Adj'!E59</f>
        <v>0</v>
      </c>
      <c r="F59" s="80">
        <f>'Restating Adj'!F59+'Pro Forma Adj'!F59</f>
        <v>0</v>
      </c>
      <c r="G59" s="275">
        <f>'Restating Adj'!G59+'Pro Forma Adj'!G59</f>
        <v>0</v>
      </c>
      <c r="H59" s="30">
        <f>'Restating Adj'!H59+'Pro Forma Adj'!H59</f>
        <v>0</v>
      </c>
      <c r="I59" s="79">
        <f>'Restating Adj'!I59+'Pro Forma Adj'!I59</f>
        <v>0</v>
      </c>
      <c r="J59" s="79">
        <f>'Restating Adj'!J59+'Pro Forma Adj'!J59</f>
        <v>0</v>
      </c>
      <c r="K59" s="79">
        <f>'Restating Adj'!K59+'Pro Forma Adj'!K59</f>
        <v>0</v>
      </c>
      <c r="L59" s="79">
        <f>'Restating Adj'!L59+'Pro Forma Adj'!L59</f>
        <v>0</v>
      </c>
      <c r="M59" s="80">
        <f>'Restating Adj'!M59+'Pro Forma Adj'!M59</f>
        <v>0</v>
      </c>
      <c r="N59" s="30">
        <f>'Restating Adj'!N59+'Pro Forma Adj'!N59</f>
        <v>0</v>
      </c>
      <c r="O59" s="79">
        <f>'Restating Adj'!O59+'Pro Forma Adj'!O59</f>
        <v>0</v>
      </c>
      <c r="P59" s="79">
        <f>'Restating Adj'!P59+'Pro Forma Adj'!P59</f>
        <v>0</v>
      </c>
      <c r="Q59" s="79">
        <f>'Restating Adj'!Q59+'Pro Forma Adj'!Q59</f>
        <v>-20743.75673634035</v>
      </c>
      <c r="R59" s="79">
        <f>'Restating Adj'!R59+'Pro Forma Adj'!R59</f>
        <v>0</v>
      </c>
      <c r="S59" s="80">
        <f>'Restating Adj'!S59+'Pro Forma Adj'!S59</f>
        <v>0</v>
      </c>
      <c r="T59" s="30">
        <f>'Restating Adj'!T59+'Pro Forma Adj'!T59</f>
        <v>0</v>
      </c>
      <c r="U59" s="79">
        <f>'Restating Adj'!U59+'Pro Forma Adj'!U59</f>
        <v>0</v>
      </c>
      <c r="V59" s="79">
        <f>'Restating Adj'!V59+'Pro Forma Adj'!V59</f>
        <v>1859727.4958688179</v>
      </c>
      <c r="W59" s="79">
        <f>'Restating Adj'!W59+'Pro Forma Adj'!W59</f>
        <v>0</v>
      </c>
      <c r="X59" s="80">
        <f>'Restating Adj'!X59+'Pro Forma Adj'!X59</f>
        <v>-25509.425789277473</v>
      </c>
      <c r="Y59" s="275">
        <f>'Restating Adj'!Y59+'Pro Forma Adj'!Y59</f>
        <v>0</v>
      </c>
      <c r="Z59" s="30">
        <f>'Restating Adj'!Z59+'Pro Forma Adj'!Z59</f>
        <v>0</v>
      </c>
      <c r="AA59" s="79">
        <f>'Restating Adj'!AA59+'Pro Forma Adj'!AA59</f>
        <v>0</v>
      </c>
      <c r="AB59" s="79">
        <f>'Restating Adj'!AB59+'Pro Forma Adj'!AB59</f>
        <v>9315764.8195591494</v>
      </c>
      <c r="AC59" s="80">
        <f>'Restating Adj'!AC59+'Pro Forma Adj'!AC59</f>
        <v>857389.75147603999</v>
      </c>
      <c r="AD59" s="30">
        <f>'Restating Adj'!AD59+'Pro Forma Adj'!AD59</f>
        <v>0</v>
      </c>
      <c r="AE59" s="80">
        <f>'Restating Adj'!AE59+'Pro Forma Adj'!AE59</f>
        <v>0</v>
      </c>
      <c r="AF59" s="30">
        <f>'Restating Adj'!AF59+'Pro Forma Adj'!AF59</f>
        <v>0</v>
      </c>
      <c r="AG59" s="79">
        <f>'Restating Adj'!AG59+'Pro Forma Adj'!AG59</f>
        <v>7638007.5587933287</v>
      </c>
      <c r="AH59" s="79">
        <f>'Restating Adj'!AH59+'Pro Forma Adj'!AH59</f>
        <v>0</v>
      </c>
      <c r="AI59" s="79">
        <f>'Restating Adj'!AI59+'Pro Forma Adj'!AI59</f>
        <v>25563147</v>
      </c>
      <c r="AJ59" s="79">
        <f>'Restating Adj'!AJ59+'Pro Forma Adj'!AJ59</f>
        <v>0</v>
      </c>
      <c r="AK59" s="80">
        <f>'Restating Adj'!AK59+'Pro Forma Adj'!AK59</f>
        <v>0</v>
      </c>
      <c r="AL59" s="30">
        <f>'Restating Adj'!AL59+'Pro Forma Adj'!AL59</f>
        <v>0</v>
      </c>
      <c r="AM59" s="79">
        <f>'Restating Adj'!AM59+'Pro Forma Adj'!AM59</f>
        <v>0</v>
      </c>
      <c r="AN59" s="79">
        <f>'Restating Adj'!AN59+'Pro Forma Adj'!AN59</f>
        <v>10547243</v>
      </c>
      <c r="AO59" s="80">
        <f>'Restating Adj'!AO59+'Pro Forma Adj'!AO59</f>
        <v>-344082.29787929845</v>
      </c>
      <c r="AP59" s="30">
        <f>'Restating Adj'!AP59+'Pro Forma Adj'!AP59</f>
        <v>0</v>
      </c>
      <c r="AQ59" s="80">
        <f>'Restating Adj'!AQ59+'Pro Forma Adj'!AQ59</f>
        <v>4142205</v>
      </c>
      <c r="AR59" s="30">
        <f>'Restating Adj'!AR59+'Pro Forma Adj'!AR59</f>
        <v>0</v>
      </c>
      <c r="AS59" s="79">
        <f>'Restating Adj'!AS59+'Pro Forma Adj'!AS59</f>
        <v>-1215586.3930333483</v>
      </c>
      <c r="AT59" s="79">
        <f>'Restating Adj'!AT59+'Pro Forma Adj'!AT59</f>
        <v>0</v>
      </c>
      <c r="AU59" s="79">
        <f>'Restating Adj'!AU59+'Pro Forma Adj'!AU59</f>
        <v>0</v>
      </c>
      <c r="AV59" s="79">
        <f>'Restating Adj'!AV59+'Pro Forma Adj'!AV59</f>
        <v>0</v>
      </c>
      <c r="AW59" s="80">
        <f>'Restating Adj'!AW59+'Pro Forma Adj'!AW59</f>
        <v>0</v>
      </c>
      <c r="AX59" s="30">
        <f>'Restating Adj'!AX59+'Pro Forma Adj'!AX59</f>
        <v>2374838.4680422596</v>
      </c>
      <c r="AY59" s="79">
        <f>'Restating Adj'!AY59+'Pro Forma Adj'!AY59</f>
        <v>0</v>
      </c>
      <c r="AZ59" s="79">
        <f>'Restating Adj'!AZ59+'Pro Forma Adj'!AZ59</f>
        <v>0</v>
      </c>
      <c r="BA59" s="79">
        <f>'Restating Adj'!BA59+'Pro Forma Adj'!BA59</f>
        <v>-744140.61432474619</v>
      </c>
      <c r="BB59" s="79">
        <f>'Restating Adj'!BB59+'Pro Forma Adj'!BB59</f>
        <v>-6399081.0807086639</v>
      </c>
      <c r="BC59" s="80">
        <f>'Restating Adj'!BC59+'Pro Forma Adj'!BC59</f>
        <v>1600235.8195686338</v>
      </c>
      <c r="BD59" s="30">
        <f>'Restating Adj'!BD59+'Pro Forma Adj'!BD59</f>
        <v>166784.9929243559</v>
      </c>
      <c r="BE59" s="79">
        <f>'Restating Adj'!BE59+'Pro Forma Adj'!BE59</f>
        <v>4469517.0185047751</v>
      </c>
      <c r="BF59" s="79">
        <f>'Restating Adj'!BF59+'Pro Forma Adj'!BF59</f>
        <v>-42956.068551157121</v>
      </c>
      <c r="BG59" s="80">
        <f>'Restating Adj'!BG59+'Pro Forma Adj'!BG59</f>
        <v>-7914497.333333333</v>
      </c>
    </row>
    <row r="60" spans="1:59" x14ac:dyDescent="0.2">
      <c r="A60" s="14" t="s">
        <v>90</v>
      </c>
      <c r="B60" s="29">
        <f t="shared" si="52"/>
        <v>0</v>
      </c>
      <c r="C60" s="30">
        <f>'Restating Adj'!C60+'Pro Forma Adj'!C60</f>
        <v>0</v>
      </c>
      <c r="D60" s="79">
        <f>'Restating Adj'!D60+'Pro Forma Adj'!D60</f>
        <v>0</v>
      </c>
      <c r="E60" s="79">
        <f>'Restating Adj'!E60+'Pro Forma Adj'!E60</f>
        <v>0</v>
      </c>
      <c r="F60" s="80">
        <f>'Restating Adj'!F60+'Pro Forma Adj'!F60</f>
        <v>0</v>
      </c>
      <c r="G60" s="275">
        <f>'Restating Adj'!G60+'Pro Forma Adj'!G60</f>
        <v>0</v>
      </c>
      <c r="H60" s="30">
        <f>'Restating Adj'!H60+'Pro Forma Adj'!H60</f>
        <v>0</v>
      </c>
      <c r="I60" s="79">
        <f>'Restating Adj'!I60+'Pro Forma Adj'!I60</f>
        <v>0</v>
      </c>
      <c r="J60" s="79">
        <f>'Restating Adj'!J60+'Pro Forma Adj'!J60</f>
        <v>0</v>
      </c>
      <c r="K60" s="79">
        <f>'Restating Adj'!K60+'Pro Forma Adj'!K60</f>
        <v>0</v>
      </c>
      <c r="L60" s="79">
        <f>'Restating Adj'!L60+'Pro Forma Adj'!L60</f>
        <v>0</v>
      </c>
      <c r="M60" s="80">
        <f>'Restating Adj'!M60+'Pro Forma Adj'!M60</f>
        <v>0</v>
      </c>
      <c r="N60" s="30">
        <f>'Restating Adj'!N60+'Pro Forma Adj'!N60</f>
        <v>0</v>
      </c>
      <c r="O60" s="79">
        <f>'Restating Adj'!O60+'Pro Forma Adj'!O60</f>
        <v>0</v>
      </c>
      <c r="P60" s="79">
        <f>'Restating Adj'!P60+'Pro Forma Adj'!P60</f>
        <v>0</v>
      </c>
      <c r="Q60" s="79">
        <f>'Restating Adj'!Q60+'Pro Forma Adj'!Q60</f>
        <v>0</v>
      </c>
      <c r="R60" s="79">
        <f>'Restating Adj'!R60+'Pro Forma Adj'!R60</f>
        <v>0</v>
      </c>
      <c r="S60" s="80">
        <f>'Restating Adj'!S60+'Pro Forma Adj'!S60</f>
        <v>0</v>
      </c>
      <c r="T60" s="30">
        <f>'Restating Adj'!T60+'Pro Forma Adj'!T60</f>
        <v>0</v>
      </c>
      <c r="U60" s="79">
        <f>'Restating Adj'!U60+'Pro Forma Adj'!U60</f>
        <v>0</v>
      </c>
      <c r="V60" s="79">
        <f>'Restating Adj'!V60+'Pro Forma Adj'!V60</f>
        <v>0</v>
      </c>
      <c r="W60" s="79">
        <f>'Restating Adj'!W60+'Pro Forma Adj'!W60</f>
        <v>0</v>
      </c>
      <c r="X60" s="80">
        <f>'Restating Adj'!X60+'Pro Forma Adj'!X60</f>
        <v>0</v>
      </c>
      <c r="Y60" s="275">
        <f>'Restating Adj'!Y60+'Pro Forma Adj'!Y60</f>
        <v>0</v>
      </c>
      <c r="Z60" s="30">
        <f>'Restating Adj'!Z60+'Pro Forma Adj'!Z60</f>
        <v>0</v>
      </c>
      <c r="AA60" s="79">
        <f>'Restating Adj'!AA60+'Pro Forma Adj'!AA60</f>
        <v>0</v>
      </c>
      <c r="AB60" s="79">
        <f>'Restating Adj'!AB60+'Pro Forma Adj'!AB60</f>
        <v>0</v>
      </c>
      <c r="AC60" s="80">
        <f>'Restating Adj'!AC60+'Pro Forma Adj'!AC60</f>
        <v>0</v>
      </c>
      <c r="AD60" s="30">
        <f>'Restating Adj'!AD60+'Pro Forma Adj'!AD60</f>
        <v>0</v>
      </c>
      <c r="AE60" s="80">
        <f>'Restating Adj'!AE60+'Pro Forma Adj'!AE60</f>
        <v>0</v>
      </c>
      <c r="AF60" s="30">
        <f>'Restating Adj'!AF60+'Pro Forma Adj'!AF60</f>
        <v>0</v>
      </c>
      <c r="AG60" s="79">
        <f>'Restating Adj'!AG60+'Pro Forma Adj'!AG60</f>
        <v>0</v>
      </c>
      <c r="AH60" s="79">
        <f>'Restating Adj'!AH60+'Pro Forma Adj'!AH60</f>
        <v>0</v>
      </c>
      <c r="AI60" s="79">
        <f>'Restating Adj'!AI60+'Pro Forma Adj'!AI60</f>
        <v>0</v>
      </c>
      <c r="AJ60" s="79">
        <f>'Restating Adj'!AJ60+'Pro Forma Adj'!AJ60</f>
        <v>0</v>
      </c>
      <c r="AK60" s="80">
        <f>'Restating Adj'!AK60+'Pro Forma Adj'!AK60</f>
        <v>0</v>
      </c>
      <c r="AL60" s="30">
        <f>'Restating Adj'!AL60+'Pro Forma Adj'!AL60</f>
        <v>0</v>
      </c>
      <c r="AM60" s="79">
        <f>'Restating Adj'!AM60+'Pro Forma Adj'!AM60</f>
        <v>0</v>
      </c>
      <c r="AN60" s="79">
        <f>'Restating Adj'!AN60+'Pro Forma Adj'!AN60</f>
        <v>0</v>
      </c>
      <c r="AO60" s="80">
        <f>'Restating Adj'!AO60+'Pro Forma Adj'!AO60</f>
        <v>0</v>
      </c>
      <c r="AP60" s="30">
        <f>'Restating Adj'!AP60+'Pro Forma Adj'!AP60</f>
        <v>0</v>
      </c>
      <c r="AQ60" s="80">
        <f>'Restating Adj'!AQ60+'Pro Forma Adj'!AQ60</f>
        <v>0</v>
      </c>
      <c r="AR60" s="30">
        <f>'Restating Adj'!AR60+'Pro Forma Adj'!AR60</f>
        <v>0</v>
      </c>
      <c r="AS60" s="79">
        <f>'Restating Adj'!AS60+'Pro Forma Adj'!AS60</f>
        <v>0</v>
      </c>
      <c r="AT60" s="79">
        <f>'Restating Adj'!AT60+'Pro Forma Adj'!AT60</f>
        <v>0</v>
      </c>
      <c r="AU60" s="79">
        <f>'Restating Adj'!AU60+'Pro Forma Adj'!AU60</f>
        <v>0</v>
      </c>
      <c r="AV60" s="79">
        <f>'Restating Adj'!AV60+'Pro Forma Adj'!AV60</f>
        <v>0</v>
      </c>
      <c r="AW60" s="80">
        <f>'Restating Adj'!AW60+'Pro Forma Adj'!AW60</f>
        <v>0</v>
      </c>
      <c r="AX60" s="30">
        <f>'Restating Adj'!AX60+'Pro Forma Adj'!AX60</f>
        <v>0</v>
      </c>
      <c r="AY60" s="79">
        <f>'Restating Adj'!AY60+'Pro Forma Adj'!AY60</f>
        <v>0</v>
      </c>
      <c r="AZ60" s="79">
        <f>'Restating Adj'!AZ60+'Pro Forma Adj'!AZ60</f>
        <v>0</v>
      </c>
      <c r="BA60" s="79">
        <f>'Restating Adj'!BA60+'Pro Forma Adj'!BA60</f>
        <v>0</v>
      </c>
      <c r="BB60" s="79">
        <f>'Restating Adj'!BB60+'Pro Forma Adj'!BB60</f>
        <v>0</v>
      </c>
      <c r="BC60" s="80">
        <f>'Restating Adj'!BC60+'Pro Forma Adj'!BC60</f>
        <v>0</v>
      </c>
      <c r="BD60" s="30">
        <f>'Restating Adj'!BD60+'Pro Forma Adj'!BD60</f>
        <v>0</v>
      </c>
      <c r="BE60" s="79">
        <f>'Restating Adj'!BE60+'Pro Forma Adj'!BE60</f>
        <v>0</v>
      </c>
      <c r="BF60" s="79">
        <f>'Restating Adj'!BF60+'Pro Forma Adj'!BF60</f>
        <v>0</v>
      </c>
      <c r="BG60" s="80">
        <f>'Restating Adj'!BG60+'Pro Forma Adj'!BG60</f>
        <v>0</v>
      </c>
    </row>
    <row r="61" spans="1:59" x14ac:dyDescent="0.2">
      <c r="A61" s="14" t="s">
        <v>91</v>
      </c>
      <c r="B61" s="29">
        <f t="shared" si="52"/>
        <v>-2502028.2767103352</v>
      </c>
      <c r="C61" s="30">
        <f>'Restating Adj'!C61+'Pro Forma Adj'!C61</f>
        <v>0</v>
      </c>
      <c r="D61" s="79">
        <f>'Restating Adj'!D61+'Pro Forma Adj'!D61</f>
        <v>0</v>
      </c>
      <c r="E61" s="79">
        <f>'Restating Adj'!E61+'Pro Forma Adj'!E61</f>
        <v>0</v>
      </c>
      <c r="F61" s="80">
        <f>'Restating Adj'!F61+'Pro Forma Adj'!F61</f>
        <v>0</v>
      </c>
      <c r="G61" s="275">
        <f>'Restating Adj'!G61+'Pro Forma Adj'!G61</f>
        <v>0</v>
      </c>
      <c r="H61" s="30">
        <f>'Restating Adj'!H61+'Pro Forma Adj'!H61</f>
        <v>0</v>
      </c>
      <c r="I61" s="79">
        <f>'Restating Adj'!I61+'Pro Forma Adj'!I61</f>
        <v>0</v>
      </c>
      <c r="J61" s="79">
        <f>'Restating Adj'!J61+'Pro Forma Adj'!J61</f>
        <v>0</v>
      </c>
      <c r="K61" s="79">
        <f>'Restating Adj'!K61+'Pro Forma Adj'!K61</f>
        <v>0</v>
      </c>
      <c r="L61" s="79">
        <f>'Restating Adj'!L61+'Pro Forma Adj'!L61</f>
        <v>0</v>
      </c>
      <c r="M61" s="80">
        <f>'Restating Adj'!M61+'Pro Forma Adj'!M61</f>
        <v>0</v>
      </c>
      <c r="N61" s="30">
        <f>'Restating Adj'!N61+'Pro Forma Adj'!N61</f>
        <v>0</v>
      </c>
      <c r="O61" s="79">
        <f>'Restating Adj'!O61+'Pro Forma Adj'!O61</f>
        <v>0</v>
      </c>
      <c r="P61" s="79">
        <f>'Restating Adj'!P61+'Pro Forma Adj'!P61</f>
        <v>0</v>
      </c>
      <c r="Q61" s="79">
        <f>'Restating Adj'!Q61+'Pro Forma Adj'!Q61</f>
        <v>0</v>
      </c>
      <c r="R61" s="79">
        <f>'Restating Adj'!R61+'Pro Forma Adj'!R61</f>
        <v>0</v>
      </c>
      <c r="S61" s="80">
        <f>'Restating Adj'!S61+'Pro Forma Adj'!S61</f>
        <v>0</v>
      </c>
      <c r="T61" s="30">
        <f>'Restating Adj'!T61+'Pro Forma Adj'!T61</f>
        <v>0</v>
      </c>
      <c r="U61" s="79">
        <f>'Restating Adj'!U61+'Pro Forma Adj'!U61</f>
        <v>0</v>
      </c>
      <c r="V61" s="79">
        <f>'Restating Adj'!V61+'Pro Forma Adj'!V61</f>
        <v>0</v>
      </c>
      <c r="W61" s="79">
        <f>'Restating Adj'!W61+'Pro Forma Adj'!W61</f>
        <v>0</v>
      </c>
      <c r="X61" s="80">
        <f>'Restating Adj'!X61+'Pro Forma Adj'!X61</f>
        <v>0</v>
      </c>
      <c r="Y61" s="275">
        <f>'Restating Adj'!Y61+'Pro Forma Adj'!Y61</f>
        <v>0</v>
      </c>
      <c r="Z61" s="30">
        <f>'Restating Adj'!Z61+'Pro Forma Adj'!Z61</f>
        <v>0</v>
      </c>
      <c r="AA61" s="79">
        <f>'Restating Adj'!AA61+'Pro Forma Adj'!AA61</f>
        <v>0</v>
      </c>
      <c r="AB61" s="79">
        <f>'Restating Adj'!AB61+'Pro Forma Adj'!AB61</f>
        <v>0</v>
      </c>
      <c r="AC61" s="80">
        <f>'Restating Adj'!AC61+'Pro Forma Adj'!AC61</f>
        <v>0</v>
      </c>
      <c r="AD61" s="30">
        <f>'Restating Adj'!AD61+'Pro Forma Adj'!AD61</f>
        <v>0</v>
      </c>
      <c r="AE61" s="80">
        <f>'Restating Adj'!AE61+'Pro Forma Adj'!AE61</f>
        <v>0</v>
      </c>
      <c r="AF61" s="30">
        <f>'Restating Adj'!AF61+'Pro Forma Adj'!AF61</f>
        <v>0</v>
      </c>
      <c r="AG61" s="79">
        <f>'Restating Adj'!AG61+'Pro Forma Adj'!AG61</f>
        <v>0</v>
      </c>
      <c r="AH61" s="79">
        <f>'Restating Adj'!AH61+'Pro Forma Adj'!AH61</f>
        <v>0</v>
      </c>
      <c r="AI61" s="79">
        <f>'Restating Adj'!AI61+'Pro Forma Adj'!AI61</f>
        <v>0</v>
      </c>
      <c r="AJ61" s="79">
        <f>'Restating Adj'!AJ61+'Pro Forma Adj'!AJ61</f>
        <v>0</v>
      </c>
      <c r="AK61" s="80">
        <f>'Restating Adj'!AK61+'Pro Forma Adj'!AK61</f>
        <v>0</v>
      </c>
      <c r="AL61" s="30">
        <f>'Restating Adj'!AL61+'Pro Forma Adj'!AL61</f>
        <v>0</v>
      </c>
      <c r="AM61" s="79">
        <f>'Restating Adj'!AM61+'Pro Forma Adj'!AM61</f>
        <v>0</v>
      </c>
      <c r="AN61" s="79">
        <f>'Restating Adj'!AN61+'Pro Forma Adj'!AN61</f>
        <v>0</v>
      </c>
      <c r="AO61" s="80">
        <f>'Restating Adj'!AO61+'Pro Forma Adj'!AO61</f>
        <v>0</v>
      </c>
      <c r="AP61" s="30">
        <f>'Restating Adj'!AP61+'Pro Forma Adj'!AP61</f>
        <v>0</v>
      </c>
      <c r="AQ61" s="80">
        <f>'Restating Adj'!AQ61+'Pro Forma Adj'!AQ61</f>
        <v>0</v>
      </c>
      <c r="AR61" s="30">
        <f>'Restating Adj'!AR61+'Pro Forma Adj'!AR61</f>
        <v>-2502028.2767103352</v>
      </c>
      <c r="AS61" s="79">
        <f>'Restating Adj'!AS61+'Pro Forma Adj'!AS61</f>
        <v>0</v>
      </c>
      <c r="AT61" s="79">
        <f>'Restating Adj'!AT61+'Pro Forma Adj'!AT61</f>
        <v>0</v>
      </c>
      <c r="AU61" s="79">
        <f>'Restating Adj'!AU61+'Pro Forma Adj'!AU61</f>
        <v>0</v>
      </c>
      <c r="AV61" s="79">
        <f>'Restating Adj'!AV61+'Pro Forma Adj'!AV61</f>
        <v>0</v>
      </c>
      <c r="AW61" s="80">
        <f>'Restating Adj'!AW61+'Pro Forma Adj'!AW61</f>
        <v>0</v>
      </c>
      <c r="AX61" s="30">
        <f>'Restating Adj'!AX61+'Pro Forma Adj'!AX61</f>
        <v>0</v>
      </c>
      <c r="AY61" s="79">
        <f>'Restating Adj'!AY61+'Pro Forma Adj'!AY61</f>
        <v>0</v>
      </c>
      <c r="AZ61" s="79">
        <f>'Restating Adj'!AZ61+'Pro Forma Adj'!AZ61</f>
        <v>0</v>
      </c>
      <c r="BA61" s="79">
        <f>'Restating Adj'!BA61+'Pro Forma Adj'!BA61</f>
        <v>0</v>
      </c>
      <c r="BB61" s="79">
        <f>'Restating Adj'!BB61+'Pro Forma Adj'!BB61</f>
        <v>0</v>
      </c>
      <c r="BC61" s="80">
        <f>'Restating Adj'!BC61+'Pro Forma Adj'!BC61</f>
        <v>0</v>
      </c>
      <c r="BD61" s="30">
        <f>'Restating Adj'!BD61+'Pro Forma Adj'!BD61</f>
        <v>0</v>
      </c>
      <c r="BE61" s="79">
        <f>'Restating Adj'!BE61+'Pro Forma Adj'!BE61</f>
        <v>0</v>
      </c>
      <c r="BF61" s="79">
        <f>'Restating Adj'!BF61+'Pro Forma Adj'!BF61</f>
        <v>0</v>
      </c>
      <c r="BG61" s="80">
        <f>'Restating Adj'!BG61+'Pro Forma Adj'!BG61</f>
        <v>0</v>
      </c>
    </row>
    <row r="62" spans="1:59" x14ac:dyDescent="0.2">
      <c r="A62" s="14" t="s">
        <v>92</v>
      </c>
      <c r="B62" s="29">
        <f t="shared" si="52"/>
        <v>-2829106.1541666668</v>
      </c>
      <c r="C62" s="30">
        <f>'Restating Adj'!C62+'Pro Forma Adj'!C62</f>
        <v>0</v>
      </c>
      <c r="D62" s="79">
        <f>'Restating Adj'!D62+'Pro Forma Adj'!D62</f>
        <v>0</v>
      </c>
      <c r="E62" s="79">
        <f>'Restating Adj'!E62+'Pro Forma Adj'!E62</f>
        <v>0</v>
      </c>
      <c r="F62" s="80">
        <f>'Restating Adj'!F62+'Pro Forma Adj'!F62</f>
        <v>0</v>
      </c>
      <c r="G62" s="275">
        <f>'Restating Adj'!G62+'Pro Forma Adj'!G62</f>
        <v>0</v>
      </c>
      <c r="H62" s="30">
        <f>'Restating Adj'!H62+'Pro Forma Adj'!H62</f>
        <v>0</v>
      </c>
      <c r="I62" s="79">
        <f>'Restating Adj'!I62+'Pro Forma Adj'!I62</f>
        <v>0</v>
      </c>
      <c r="J62" s="79">
        <f>'Restating Adj'!J62+'Pro Forma Adj'!J62</f>
        <v>0</v>
      </c>
      <c r="K62" s="79">
        <f>'Restating Adj'!K62+'Pro Forma Adj'!K62</f>
        <v>0</v>
      </c>
      <c r="L62" s="79">
        <f>'Restating Adj'!L62+'Pro Forma Adj'!L62</f>
        <v>0</v>
      </c>
      <c r="M62" s="80">
        <f>'Restating Adj'!M62+'Pro Forma Adj'!M62</f>
        <v>0</v>
      </c>
      <c r="N62" s="30">
        <f>'Restating Adj'!N62+'Pro Forma Adj'!N62</f>
        <v>0</v>
      </c>
      <c r="O62" s="79">
        <f>'Restating Adj'!O62+'Pro Forma Adj'!O62</f>
        <v>0</v>
      </c>
      <c r="P62" s="79">
        <f>'Restating Adj'!P62+'Pro Forma Adj'!P62</f>
        <v>0</v>
      </c>
      <c r="Q62" s="79">
        <f>'Restating Adj'!Q62+'Pro Forma Adj'!Q62</f>
        <v>0</v>
      </c>
      <c r="R62" s="79">
        <f>'Restating Adj'!R62+'Pro Forma Adj'!R62</f>
        <v>0</v>
      </c>
      <c r="S62" s="80">
        <f>'Restating Adj'!S62+'Pro Forma Adj'!S62</f>
        <v>0</v>
      </c>
      <c r="T62" s="30">
        <f>'Restating Adj'!T62+'Pro Forma Adj'!T62</f>
        <v>0</v>
      </c>
      <c r="U62" s="79">
        <f>'Restating Adj'!U62+'Pro Forma Adj'!U62</f>
        <v>0</v>
      </c>
      <c r="V62" s="79">
        <f>'Restating Adj'!V62+'Pro Forma Adj'!V62</f>
        <v>0</v>
      </c>
      <c r="W62" s="79">
        <f>'Restating Adj'!W62+'Pro Forma Adj'!W62</f>
        <v>0</v>
      </c>
      <c r="X62" s="80">
        <f>'Restating Adj'!X62+'Pro Forma Adj'!X62</f>
        <v>0</v>
      </c>
      <c r="Y62" s="275">
        <f>'Restating Adj'!Y62+'Pro Forma Adj'!Y62</f>
        <v>0</v>
      </c>
      <c r="Z62" s="30">
        <f>'Restating Adj'!Z62+'Pro Forma Adj'!Z62</f>
        <v>0</v>
      </c>
      <c r="AA62" s="79">
        <f>'Restating Adj'!AA62+'Pro Forma Adj'!AA62</f>
        <v>0</v>
      </c>
      <c r="AB62" s="79">
        <f>'Restating Adj'!AB62+'Pro Forma Adj'!AB62</f>
        <v>0</v>
      </c>
      <c r="AC62" s="80">
        <f>'Restating Adj'!AC62+'Pro Forma Adj'!AC62</f>
        <v>0</v>
      </c>
      <c r="AD62" s="30">
        <f>'Restating Adj'!AD62+'Pro Forma Adj'!AD62</f>
        <v>0</v>
      </c>
      <c r="AE62" s="80">
        <f>'Restating Adj'!AE62+'Pro Forma Adj'!AE62</f>
        <v>0</v>
      </c>
      <c r="AF62" s="30">
        <f>'Restating Adj'!AF62+'Pro Forma Adj'!AF62</f>
        <v>0</v>
      </c>
      <c r="AG62" s="79">
        <f>'Restating Adj'!AG62+'Pro Forma Adj'!AG62</f>
        <v>0</v>
      </c>
      <c r="AH62" s="79">
        <f>'Restating Adj'!AH62+'Pro Forma Adj'!AH62</f>
        <v>0</v>
      </c>
      <c r="AI62" s="79">
        <f>'Restating Adj'!AI62+'Pro Forma Adj'!AI62</f>
        <v>0</v>
      </c>
      <c r="AJ62" s="79">
        <f>'Restating Adj'!AJ62+'Pro Forma Adj'!AJ62</f>
        <v>0</v>
      </c>
      <c r="AK62" s="80">
        <f>'Restating Adj'!AK62+'Pro Forma Adj'!AK62</f>
        <v>0</v>
      </c>
      <c r="AL62" s="30">
        <f>'Restating Adj'!AL62+'Pro Forma Adj'!AL62</f>
        <v>0</v>
      </c>
      <c r="AM62" s="79">
        <f>'Restating Adj'!AM62+'Pro Forma Adj'!AM62</f>
        <v>0</v>
      </c>
      <c r="AN62" s="79">
        <f>'Restating Adj'!AN62+'Pro Forma Adj'!AN62</f>
        <v>0</v>
      </c>
      <c r="AO62" s="80">
        <f>'Restating Adj'!AO62+'Pro Forma Adj'!AO62</f>
        <v>0</v>
      </c>
      <c r="AP62" s="30">
        <f>'Restating Adj'!AP62+'Pro Forma Adj'!AP62</f>
        <v>0</v>
      </c>
      <c r="AQ62" s="80">
        <f>'Restating Adj'!AQ62+'Pro Forma Adj'!AQ62</f>
        <v>0</v>
      </c>
      <c r="AR62" s="30">
        <f>'Restating Adj'!AR62+'Pro Forma Adj'!AR62</f>
        <v>0</v>
      </c>
      <c r="AS62" s="79">
        <f>'Restating Adj'!AS62+'Pro Forma Adj'!AS62</f>
        <v>0</v>
      </c>
      <c r="AT62" s="79">
        <f>'Restating Adj'!AT62+'Pro Forma Adj'!AT62</f>
        <v>0</v>
      </c>
      <c r="AU62" s="79">
        <f>'Restating Adj'!AU62+'Pro Forma Adj'!AU62</f>
        <v>0</v>
      </c>
      <c r="AV62" s="79">
        <f>'Restating Adj'!AV62+'Pro Forma Adj'!AV62</f>
        <v>-2829106.1541666668</v>
      </c>
      <c r="AW62" s="80">
        <f>'Restating Adj'!AW62+'Pro Forma Adj'!AW62</f>
        <v>0</v>
      </c>
      <c r="AX62" s="30">
        <f>'Restating Adj'!AX62+'Pro Forma Adj'!AX62</f>
        <v>0</v>
      </c>
      <c r="AY62" s="79">
        <f>'Restating Adj'!AY62+'Pro Forma Adj'!AY62</f>
        <v>0</v>
      </c>
      <c r="AZ62" s="79">
        <f>'Restating Adj'!AZ62+'Pro Forma Adj'!AZ62</f>
        <v>0</v>
      </c>
      <c r="BA62" s="79">
        <f>'Restating Adj'!BA62+'Pro Forma Adj'!BA62</f>
        <v>0</v>
      </c>
      <c r="BB62" s="79">
        <f>'Restating Adj'!BB62+'Pro Forma Adj'!BB62</f>
        <v>0</v>
      </c>
      <c r="BC62" s="80">
        <f>'Restating Adj'!BC62+'Pro Forma Adj'!BC62</f>
        <v>0</v>
      </c>
      <c r="BD62" s="30">
        <f>'Restating Adj'!BD62+'Pro Forma Adj'!BD62</f>
        <v>0</v>
      </c>
      <c r="BE62" s="79">
        <f>'Restating Adj'!BE62+'Pro Forma Adj'!BE62</f>
        <v>0</v>
      </c>
      <c r="BF62" s="79">
        <f>'Restating Adj'!BF62+'Pro Forma Adj'!BF62</f>
        <v>0</v>
      </c>
      <c r="BG62" s="80">
        <f>'Restating Adj'!BG62+'Pro Forma Adj'!BG62</f>
        <v>0</v>
      </c>
    </row>
    <row r="63" spans="1:59" x14ac:dyDescent="0.2">
      <c r="A63" s="14" t="s">
        <v>93</v>
      </c>
      <c r="B63" s="29">
        <f t="shared" si="52"/>
        <v>-18889957.78050717</v>
      </c>
      <c r="C63" s="30">
        <f>'Restating Adj'!C63+'Pro Forma Adj'!C63</f>
        <v>0</v>
      </c>
      <c r="D63" s="79">
        <f>'Restating Adj'!D63+'Pro Forma Adj'!D63</f>
        <v>0</v>
      </c>
      <c r="E63" s="79">
        <f>'Restating Adj'!E63+'Pro Forma Adj'!E63</f>
        <v>0</v>
      </c>
      <c r="F63" s="80">
        <f>'Restating Adj'!F63+'Pro Forma Adj'!F63</f>
        <v>0</v>
      </c>
      <c r="G63" s="275">
        <f>'Restating Adj'!G63+'Pro Forma Adj'!G63</f>
        <v>0</v>
      </c>
      <c r="H63" s="30">
        <f>'Restating Adj'!H63+'Pro Forma Adj'!H63</f>
        <v>0</v>
      </c>
      <c r="I63" s="79">
        <f>'Restating Adj'!I63+'Pro Forma Adj'!I63</f>
        <v>0</v>
      </c>
      <c r="J63" s="79">
        <f>'Restating Adj'!J63+'Pro Forma Adj'!J63</f>
        <v>0</v>
      </c>
      <c r="K63" s="79">
        <f>'Restating Adj'!K63+'Pro Forma Adj'!K63</f>
        <v>0</v>
      </c>
      <c r="L63" s="79">
        <f>'Restating Adj'!L63+'Pro Forma Adj'!L63</f>
        <v>0</v>
      </c>
      <c r="M63" s="80">
        <f>'Restating Adj'!M63+'Pro Forma Adj'!M63</f>
        <v>0</v>
      </c>
      <c r="N63" s="30">
        <f>'Restating Adj'!N63+'Pro Forma Adj'!N63</f>
        <v>0</v>
      </c>
      <c r="O63" s="79">
        <f>'Restating Adj'!O63+'Pro Forma Adj'!O63</f>
        <v>0</v>
      </c>
      <c r="P63" s="79">
        <f>'Restating Adj'!P63+'Pro Forma Adj'!P63</f>
        <v>0</v>
      </c>
      <c r="Q63" s="79">
        <f>'Restating Adj'!Q63+'Pro Forma Adj'!Q63</f>
        <v>0</v>
      </c>
      <c r="R63" s="79">
        <f>'Restating Adj'!R63+'Pro Forma Adj'!R63</f>
        <v>0</v>
      </c>
      <c r="S63" s="80">
        <f>'Restating Adj'!S63+'Pro Forma Adj'!S63</f>
        <v>0</v>
      </c>
      <c r="T63" s="30">
        <f>'Restating Adj'!T63+'Pro Forma Adj'!T63</f>
        <v>0</v>
      </c>
      <c r="U63" s="79">
        <f>'Restating Adj'!U63+'Pro Forma Adj'!U63</f>
        <v>0</v>
      </c>
      <c r="V63" s="79">
        <f>'Restating Adj'!V63+'Pro Forma Adj'!V63</f>
        <v>0</v>
      </c>
      <c r="W63" s="79">
        <f>'Restating Adj'!W63+'Pro Forma Adj'!W63</f>
        <v>0</v>
      </c>
      <c r="X63" s="80">
        <f>'Restating Adj'!X63+'Pro Forma Adj'!X63</f>
        <v>0</v>
      </c>
      <c r="Y63" s="275">
        <f>'Restating Adj'!Y63+'Pro Forma Adj'!Y63</f>
        <v>0</v>
      </c>
      <c r="Z63" s="30">
        <f>'Restating Adj'!Z63+'Pro Forma Adj'!Z63</f>
        <v>0</v>
      </c>
      <c r="AA63" s="79">
        <f>'Restating Adj'!AA63+'Pro Forma Adj'!AA63</f>
        <v>0</v>
      </c>
      <c r="AB63" s="79">
        <f>'Restating Adj'!AB63+'Pro Forma Adj'!AB63</f>
        <v>0</v>
      </c>
      <c r="AC63" s="80">
        <f>'Restating Adj'!AC63+'Pro Forma Adj'!AC63</f>
        <v>0</v>
      </c>
      <c r="AD63" s="30">
        <f>'Restating Adj'!AD63+'Pro Forma Adj'!AD63</f>
        <v>0</v>
      </c>
      <c r="AE63" s="80">
        <f>'Restating Adj'!AE63+'Pro Forma Adj'!AE63</f>
        <v>0</v>
      </c>
      <c r="AF63" s="30">
        <f>'Restating Adj'!AF63+'Pro Forma Adj'!AF63</f>
        <v>0</v>
      </c>
      <c r="AG63" s="79">
        <f>'Restating Adj'!AG63+'Pro Forma Adj'!AG63</f>
        <v>0</v>
      </c>
      <c r="AH63" s="79">
        <f>'Restating Adj'!AH63+'Pro Forma Adj'!AH63</f>
        <v>0</v>
      </c>
      <c r="AI63" s="79">
        <f>'Restating Adj'!AI63+'Pro Forma Adj'!AI63</f>
        <v>0</v>
      </c>
      <c r="AJ63" s="79">
        <f>'Restating Adj'!AJ63+'Pro Forma Adj'!AJ63</f>
        <v>0</v>
      </c>
      <c r="AK63" s="80">
        <f>'Restating Adj'!AK63+'Pro Forma Adj'!AK63</f>
        <v>0</v>
      </c>
      <c r="AL63" s="30">
        <f>'Restating Adj'!AL63+'Pro Forma Adj'!AL63</f>
        <v>0</v>
      </c>
      <c r="AM63" s="79">
        <f>'Restating Adj'!AM63+'Pro Forma Adj'!AM63</f>
        <v>0</v>
      </c>
      <c r="AN63" s="79">
        <f>'Restating Adj'!AN63+'Pro Forma Adj'!AN63</f>
        <v>3070693</v>
      </c>
      <c r="AO63" s="80">
        <f>'Restating Adj'!AO63+'Pro Forma Adj'!AO63</f>
        <v>0</v>
      </c>
      <c r="AP63" s="30">
        <f>'Restating Adj'!AP63+'Pro Forma Adj'!AP63</f>
        <v>0</v>
      </c>
      <c r="AQ63" s="80">
        <f>'Restating Adj'!AQ63+'Pro Forma Adj'!AQ63</f>
        <v>-16510889.820000019</v>
      </c>
      <c r="AR63" s="30">
        <f>'Restating Adj'!AR63+'Pro Forma Adj'!AR63</f>
        <v>0</v>
      </c>
      <c r="AS63" s="79">
        <f>'Restating Adj'!AS63+'Pro Forma Adj'!AS63</f>
        <v>0</v>
      </c>
      <c r="AT63" s="79">
        <f>'Restating Adj'!AT63+'Pro Forma Adj'!AT63</f>
        <v>1058811.8610232489</v>
      </c>
      <c r="AU63" s="79">
        <f>'Restating Adj'!AU63+'Pro Forma Adj'!AU63</f>
        <v>0</v>
      </c>
      <c r="AV63" s="79">
        <f>'Restating Adj'!AV63+'Pro Forma Adj'!AV63</f>
        <v>0</v>
      </c>
      <c r="AW63" s="80">
        <f>'Restating Adj'!AW63+'Pro Forma Adj'!AW63</f>
        <v>0</v>
      </c>
      <c r="AX63" s="30">
        <f>'Restating Adj'!AX63+'Pro Forma Adj'!AX63</f>
        <v>0</v>
      </c>
      <c r="AY63" s="79">
        <f>'Restating Adj'!AY63+'Pro Forma Adj'!AY63</f>
        <v>0</v>
      </c>
      <c r="AZ63" s="79">
        <f>'Restating Adj'!AZ63+'Pro Forma Adj'!AZ63</f>
        <v>0</v>
      </c>
      <c r="BA63" s="79">
        <f>'Restating Adj'!BA63+'Pro Forma Adj'!BA63</f>
        <v>0</v>
      </c>
      <c r="BB63" s="79">
        <f>'Restating Adj'!BB63+'Pro Forma Adj'!BB63</f>
        <v>0</v>
      </c>
      <c r="BC63" s="80">
        <f>'Restating Adj'!BC63+'Pro Forma Adj'!BC63</f>
        <v>-6508572.821530398</v>
      </c>
      <c r="BD63" s="30">
        <f>'Restating Adj'!BD63+'Pro Forma Adj'!BD63</f>
        <v>0</v>
      </c>
      <c r="BE63" s="79">
        <f>'Restating Adj'!BE63+'Pro Forma Adj'!BE63</f>
        <v>0</v>
      </c>
      <c r="BF63" s="79">
        <f>'Restating Adj'!BF63+'Pro Forma Adj'!BF63</f>
        <v>0</v>
      </c>
      <c r="BG63" s="80">
        <f>'Restating Adj'!BG63+'Pro Forma Adj'!BG63</f>
        <v>0</v>
      </c>
    </row>
    <row r="64" spans="1:59" x14ac:dyDescent="0.2">
      <c r="A64" s="14"/>
      <c r="B64" s="28">
        <f t="shared" si="52"/>
        <v>0</v>
      </c>
      <c r="C64" s="28">
        <f>'Restating Adj'!C64+'Pro Forma Adj'!C64</f>
        <v>0</v>
      </c>
      <c r="D64" s="12">
        <f>'Restating Adj'!D64+'Pro Forma Adj'!D64</f>
        <v>0</v>
      </c>
      <c r="E64" s="12">
        <f>'Restating Adj'!E64+'Pro Forma Adj'!E64</f>
        <v>0</v>
      </c>
      <c r="F64" s="75">
        <f>'Restating Adj'!F64+'Pro Forma Adj'!F64</f>
        <v>0</v>
      </c>
      <c r="G64" s="76">
        <f>'Restating Adj'!G64+'Pro Forma Adj'!G64</f>
        <v>0</v>
      </c>
      <c r="H64" s="28">
        <f>'Restating Adj'!H64+'Pro Forma Adj'!H64</f>
        <v>0</v>
      </c>
      <c r="I64" s="12">
        <f>'Restating Adj'!I64+'Pro Forma Adj'!I64</f>
        <v>0</v>
      </c>
      <c r="J64" s="12">
        <f>'Restating Adj'!J64+'Pro Forma Adj'!J64</f>
        <v>0</v>
      </c>
      <c r="K64" s="12">
        <f>'Restating Adj'!K64+'Pro Forma Adj'!K64</f>
        <v>0</v>
      </c>
      <c r="L64" s="12">
        <f>'Restating Adj'!L64+'Pro Forma Adj'!L64</f>
        <v>0</v>
      </c>
      <c r="M64" s="75">
        <f>'Restating Adj'!M64+'Pro Forma Adj'!M64</f>
        <v>0</v>
      </c>
      <c r="N64" s="28">
        <f>'Restating Adj'!N64+'Pro Forma Adj'!N64</f>
        <v>0</v>
      </c>
      <c r="O64" s="12">
        <f>'Restating Adj'!O64+'Pro Forma Adj'!O64</f>
        <v>0</v>
      </c>
      <c r="P64" s="12">
        <f>'Restating Adj'!P64+'Pro Forma Adj'!P64</f>
        <v>0</v>
      </c>
      <c r="Q64" s="12">
        <f>'Restating Adj'!Q64+'Pro Forma Adj'!Q64</f>
        <v>0</v>
      </c>
      <c r="R64" s="12">
        <f>'Restating Adj'!R64+'Pro Forma Adj'!R64</f>
        <v>0</v>
      </c>
      <c r="S64" s="75">
        <f>'Restating Adj'!S64+'Pro Forma Adj'!S64</f>
        <v>0</v>
      </c>
      <c r="T64" s="28">
        <f>'Restating Adj'!T64+'Pro Forma Adj'!T64</f>
        <v>0</v>
      </c>
      <c r="U64" s="12">
        <f>'Restating Adj'!U64+'Pro Forma Adj'!U64</f>
        <v>0</v>
      </c>
      <c r="V64" s="12">
        <f>'Restating Adj'!V64+'Pro Forma Adj'!V64</f>
        <v>0</v>
      </c>
      <c r="W64" s="12">
        <f>'Restating Adj'!W64+'Pro Forma Adj'!W64</f>
        <v>0</v>
      </c>
      <c r="X64" s="75">
        <f>'Restating Adj'!X64+'Pro Forma Adj'!X64</f>
        <v>0</v>
      </c>
      <c r="Y64" s="76">
        <f>'Restating Adj'!Y64+'Pro Forma Adj'!Y64</f>
        <v>0</v>
      </c>
      <c r="Z64" s="28">
        <f>'Restating Adj'!Z64+'Pro Forma Adj'!Z64</f>
        <v>0</v>
      </c>
      <c r="AA64" s="12">
        <f>'Restating Adj'!AA64+'Pro Forma Adj'!AA64</f>
        <v>0</v>
      </c>
      <c r="AB64" s="12">
        <f>'Restating Adj'!AB64+'Pro Forma Adj'!AB64</f>
        <v>0</v>
      </c>
      <c r="AC64" s="75">
        <f>'Restating Adj'!AC64+'Pro Forma Adj'!AC64</f>
        <v>0</v>
      </c>
      <c r="AD64" s="28">
        <f>'Restating Adj'!AD64+'Pro Forma Adj'!AD64</f>
        <v>0</v>
      </c>
      <c r="AE64" s="75">
        <f>'Restating Adj'!AE64+'Pro Forma Adj'!AE64</f>
        <v>0</v>
      </c>
      <c r="AF64" s="28">
        <f>'Restating Adj'!AF64+'Pro Forma Adj'!AF64</f>
        <v>0</v>
      </c>
      <c r="AG64" s="12">
        <f>'Restating Adj'!AG64+'Pro Forma Adj'!AG64</f>
        <v>0</v>
      </c>
      <c r="AH64" s="12">
        <f>'Restating Adj'!AH64+'Pro Forma Adj'!AH64</f>
        <v>0</v>
      </c>
      <c r="AI64" s="12">
        <f>'Restating Adj'!AI64+'Pro Forma Adj'!AI64</f>
        <v>0</v>
      </c>
      <c r="AJ64" s="12">
        <f>'Restating Adj'!AJ64+'Pro Forma Adj'!AJ64</f>
        <v>0</v>
      </c>
      <c r="AK64" s="75">
        <f>'Restating Adj'!AK64+'Pro Forma Adj'!AK64</f>
        <v>0</v>
      </c>
      <c r="AL64" s="28">
        <f>'Restating Adj'!AL64+'Pro Forma Adj'!AL64</f>
        <v>0</v>
      </c>
      <c r="AM64" s="12">
        <f>'Restating Adj'!AM64+'Pro Forma Adj'!AM64</f>
        <v>0</v>
      </c>
      <c r="AN64" s="12">
        <f>'Restating Adj'!AN64+'Pro Forma Adj'!AN64</f>
        <v>0</v>
      </c>
      <c r="AO64" s="75">
        <f>'Restating Adj'!AO64+'Pro Forma Adj'!AO64</f>
        <v>0</v>
      </c>
      <c r="AP64" s="28">
        <f>'Restating Adj'!AP64+'Pro Forma Adj'!AP64</f>
        <v>0</v>
      </c>
      <c r="AQ64" s="75">
        <f>'Restating Adj'!AQ64+'Pro Forma Adj'!AQ64</f>
        <v>0</v>
      </c>
      <c r="AR64" s="28">
        <f>'Restating Adj'!AR64+'Pro Forma Adj'!AR64</f>
        <v>0</v>
      </c>
      <c r="AS64" s="12">
        <f>'Restating Adj'!AS64+'Pro Forma Adj'!AS64</f>
        <v>0</v>
      </c>
      <c r="AT64" s="12">
        <f>'Restating Adj'!AT64+'Pro Forma Adj'!AT64</f>
        <v>0</v>
      </c>
      <c r="AU64" s="12">
        <f>'Restating Adj'!AU64+'Pro Forma Adj'!AU64</f>
        <v>0</v>
      </c>
      <c r="AV64" s="12">
        <f>'Restating Adj'!AV64+'Pro Forma Adj'!AV64</f>
        <v>0</v>
      </c>
      <c r="AW64" s="75">
        <f>'Restating Adj'!AW64+'Pro Forma Adj'!AW64</f>
        <v>0</v>
      </c>
      <c r="AX64" s="28">
        <f>'Restating Adj'!AX64+'Pro Forma Adj'!AX64</f>
        <v>0</v>
      </c>
      <c r="AY64" s="12">
        <f>'Restating Adj'!AY64+'Pro Forma Adj'!AY64</f>
        <v>0</v>
      </c>
      <c r="AZ64" s="12">
        <f>'Restating Adj'!AZ64+'Pro Forma Adj'!AZ64</f>
        <v>0</v>
      </c>
      <c r="BA64" s="12">
        <f>'Restating Adj'!BA64+'Pro Forma Adj'!BA64</f>
        <v>0</v>
      </c>
      <c r="BB64" s="12">
        <f>'Restating Adj'!BB64+'Pro Forma Adj'!BB64</f>
        <v>0</v>
      </c>
      <c r="BC64" s="75">
        <f>'Restating Adj'!BC64+'Pro Forma Adj'!BC64</f>
        <v>0</v>
      </c>
      <c r="BD64" s="28">
        <f>'Restating Adj'!BD64+'Pro Forma Adj'!BD64</f>
        <v>0</v>
      </c>
      <c r="BE64" s="12">
        <f>'Restating Adj'!BE64+'Pro Forma Adj'!BE64</f>
        <v>0</v>
      </c>
      <c r="BF64" s="12">
        <f>'Restating Adj'!BF64+'Pro Forma Adj'!BF64</f>
        <v>0</v>
      </c>
      <c r="BG64" s="75">
        <f>'Restating Adj'!BG64+'Pro Forma Adj'!BG64</f>
        <v>0</v>
      </c>
    </row>
    <row r="65" spans="1:59" x14ac:dyDescent="0.2">
      <c r="A65" s="14" t="s">
        <v>94</v>
      </c>
      <c r="B65" s="31">
        <f t="shared" si="52"/>
        <v>11803249.286966123</v>
      </c>
      <c r="C65" s="31">
        <f t="shared" ref="C65" si="53">SUM(C57:C64)</f>
        <v>0</v>
      </c>
      <c r="D65" s="81">
        <f t="shared" ref="D65:AS65" si="54">SUM(D57:D64)</f>
        <v>0</v>
      </c>
      <c r="E65" s="81">
        <f t="shared" si="54"/>
        <v>0</v>
      </c>
      <c r="F65" s="82">
        <f t="shared" si="54"/>
        <v>0</v>
      </c>
      <c r="G65" s="151">
        <f t="shared" si="54"/>
        <v>0</v>
      </c>
      <c r="H65" s="31">
        <f t="shared" si="54"/>
        <v>0</v>
      </c>
      <c r="I65" s="81">
        <f t="shared" si="54"/>
        <v>0</v>
      </c>
      <c r="J65" s="81">
        <f t="shared" si="54"/>
        <v>0</v>
      </c>
      <c r="K65" s="81">
        <f t="shared" si="54"/>
        <v>0</v>
      </c>
      <c r="L65" s="81">
        <f t="shared" si="54"/>
        <v>0</v>
      </c>
      <c r="M65" s="82">
        <f t="shared" si="54"/>
        <v>0</v>
      </c>
      <c r="N65" s="31">
        <f t="shared" si="54"/>
        <v>0</v>
      </c>
      <c r="O65" s="81">
        <f t="shared" si="54"/>
        <v>0</v>
      </c>
      <c r="P65" s="81">
        <f t="shared" si="54"/>
        <v>0</v>
      </c>
      <c r="Q65" s="81">
        <f t="shared" si="54"/>
        <v>-20743.75673634035</v>
      </c>
      <c r="R65" s="81">
        <f t="shared" si="54"/>
        <v>0</v>
      </c>
      <c r="S65" s="82">
        <f t="shared" si="54"/>
        <v>0</v>
      </c>
      <c r="T65" s="31">
        <f t="shared" ref="T65:U65" si="55">SUM(T57:T64)</f>
        <v>0</v>
      </c>
      <c r="U65" s="81">
        <f t="shared" si="55"/>
        <v>0</v>
      </c>
      <c r="V65" s="81">
        <f t="shared" ref="V65:W65" si="56">SUM(V57:V64)</f>
        <v>22526970.545521189</v>
      </c>
      <c r="W65" s="81">
        <f t="shared" si="56"/>
        <v>0</v>
      </c>
      <c r="X65" s="82">
        <f t="shared" ref="X65" si="57">SUM(X57:X64)</f>
        <v>-25908.950808338308</v>
      </c>
      <c r="Y65" s="151">
        <f t="shared" si="54"/>
        <v>0</v>
      </c>
      <c r="Z65" s="31">
        <f t="shared" si="54"/>
        <v>-55137271.460930869</v>
      </c>
      <c r="AA65" s="81">
        <f t="shared" si="54"/>
        <v>-19123219.719212715</v>
      </c>
      <c r="AB65" s="81">
        <f t="shared" si="54"/>
        <v>-22940109.889799323</v>
      </c>
      <c r="AC65" s="82">
        <f t="shared" ref="AC65" si="58">SUM(AC57:AC64)</f>
        <v>-470359.61073893483</v>
      </c>
      <c r="AD65" s="31">
        <f t="shared" si="54"/>
        <v>0</v>
      </c>
      <c r="AE65" s="82">
        <f t="shared" si="54"/>
        <v>0</v>
      </c>
      <c r="AF65" s="31">
        <f t="shared" si="54"/>
        <v>0</v>
      </c>
      <c r="AG65" s="81">
        <f t="shared" si="54"/>
        <v>7638007.5587933287</v>
      </c>
      <c r="AH65" s="81">
        <f t="shared" si="54"/>
        <v>0</v>
      </c>
      <c r="AI65" s="81">
        <f t="shared" si="54"/>
        <v>25563147</v>
      </c>
      <c r="AJ65" s="81">
        <f t="shared" si="54"/>
        <v>0</v>
      </c>
      <c r="AK65" s="82">
        <f t="shared" si="54"/>
        <v>0</v>
      </c>
      <c r="AL65" s="31">
        <f t="shared" si="54"/>
        <v>0</v>
      </c>
      <c r="AM65" s="81">
        <f t="shared" ref="AM65:AO65" si="59">SUM(AM57:AM64)</f>
        <v>0</v>
      </c>
      <c r="AN65" s="81">
        <f t="shared" si="59"/>
        <v>13617936</v>
      </c>
      <c r="AO65" s="82">
        <f t="shared" si="59"/>
        <v>-344082.29787929845</v>
      </c>
      <c r="AP65" s="31">
        <f t="shared" si="54"/>
        <v>-57337030.203123763</v>
      </c>
      <c r="AQ65" s="82">
        <f t="shared" si="54"/>
        <v>-12368684.820000019</v>
      </c>
      <c r="AR65" s="31">
        <f t="shared" si="54"/>
        <v>-2502028.2767103352</v>
      </c>
      <c r="AS65" s="81">
        <f t="shared" si="54"/>
        <v>-1215586.3930333483</v>
      </c>
      <c r="AT65" s="81">
        <f t="shared" ref="AT65:BB65" si="60">SUM(AT57:AT64)</f>
        <v>1058811.8610232489</v>
      </c>
      <c r="AU65" s="81">
        <f t="shared" si="60"/>
        <v>0</v>
      </c>
      <c r="AV65" s="81">
        <f t="shared" si="60"/>
        <v>-2829106.1541666668</v>
      </c>
      <c r="AW65" s="82">
        <f t="shared" si="60"/>
        <v>0</v>
      </c>
      <c r="AX65" s="31">
        <f t="shared" si="60"/>
        <v>8588494.7789622154</v>
      </c>
      <c r="AY65" s="81">
        <f t="shared" si="60"/>
        <v>0</v>
      </c>
      <c r="AZ65" s="81">
        <f t="shared" si="60"/>
        <v>-5439564.0626561325</v>
      </c>
      <c r="BA65" s="81">
        <f t="shared" si="60"/>
        <v>97320588.291133866</v>
      </c>
      <c r="BB65" s="81">
        <f t="shared" si="60"/>
        <v>-6635507.7683081403</v>
      </c>
      <c r="BC65" s="82">
        <f t="shared" ref="BC65" si="61">SUM(BC57:BC64)</f>
        <v>-4908337.0019617639</v>
      </c>
      <c r="BD65" s="31">
        <f t="shared" ref="BD65:BG65" si="62">SUM(BD57:BD64)</f>
        <v>-1477286.3158250481</v>
      </c>
      <c r="BE65" s="81">
        <f t="shared" si="62"/>
        <v>40909461.619701289</v>
      </c>
      <c r="BF65" s="81">
        <f t="shared" si="62"/>
        <v>-101023.88727748067</v>
      </c>
      <c r="BG65" s="82">
        <f t="shared" si="62"/>
        <v>-12544317.799000483</v>
      </c>
    </row>
    <row r="66" spans="1:59" x14ac:dyDescent="0.2">
      <c r="A66" s="14"/>
      <c r="B66" s="28"/>
      <c r="C66" s="28"/>
      <c r="D66" s="12"/>
      <c r="E66" s="12"/>
      <c r="F66" s="75"/>
      <c r="G66" s="76"/>
      <c r="H66" s="28"/>
      <c r="I66" s="12"/>
      <c r="J66" s="12"/>
      <c r="K66" s="12"/>
      <c r="L66" s="12"/>
      <c r="M66" s="75"/>
      <c r="N66" s="28"/>
      <c r="O66" s="12"/>
      <c r="P66" s="12"/>
      <c r="Q66" s="12"/>
      <c r="R66" s="12"/>
      <c r="S66" s="75"/>
      <c r="T66" s="28"/>
      <c r="U66" s="12"/>
      <c r="V66" s="12"/>
      <c r="W66" s="12"/>
      <c r="X66" s="75"/>
      <c r="Y66" s="76"/>
      <c r="Z66" s="28"/>
      <c r="AA66" s="12"/>
      <c r="AB66" s="12"/>
      <c r="AC66" s="75"/>
      <c r="AD66" s="28"/>
      <c r="AE66" s="75"/>
      <c r="AF66" s="28"/>
      <c r="AG66" s="12"/>
      <c r="AH66" s="12"/>
      <c r="AI66" s="12"/>
      <c r="AJ66" s="12"/>
      <c r="AK66" s="75"/>
      <c r="AL66" s="28"/>
      <c r="AM66" s="12"/>
      <c r="AN66" s="12"/>
      <c r="AO66" s="75"/>
      <c r="AP66" s="28"/>
      <c r="AQ66" s="75"/>
      <c r="AR66" s="28"/>
      <c r="AS66" s="12"/>
      <c r="AT66" s="12"/>
      <c r="AU66" s="12"/>
      <c r="AV66" s="12"/>
      <c r="AW66" s="75"/>
      <c r="AX66" s="28"/>
      <c r="AY66" s="12"/>
      <c r="AZ66" s="12"/>
      <c r="BA66" s="12"/>
      <c r="BB66" s="12"/>
      <c r="BC66" s="75"/>
      <c r="BD66" s="28"/>
      <c r="BE66" s="12"/>
      <c r="BF66" s="12"/>
      <c r="BG66" s="75"/>
    </row>
    <row r="67" spans="1:59" ht="13.5" thickBot="1" x14ac:dyDescent="0.25">
      <c r="A67" s="14" t="s">
        <v>95</v>
      </c>
      <c r="B67" s="35">
        <f>SUM(C67:BG67)</f>
        <v>237274573.58029807</v>
      </c>
      <c r="C67" s="35">
        <f t="shared" ref="C67" si="63">C54+C65</f>
        <v>0</v>
      </c>
      <c r="D67" s="92">
        <f t="shared" ref="D67:AS67" si="64">D54+D65</f>
        <v>0</v>
      </c>
      <c r="E67" s="92">
        <f t="shared" si="64"/>
        <v>0</v>
      </c>
      <c r="F67" s="155">
        <f t="shared" si="64"/>
        <v>0</v>
      </c>
      <c r="G67" s="154">
        <f t="shared" si="64"/>
        <v>0</v>
      </c>
      <c r="H67" s="35">
        <f t="shared" si="64"/>
        <v>0</v>
      </c>
      <c r="I67" s="92">
        <f t="shared" si="64"/>
        <v>0</v>
      </c>
      <c r="J67" s="92">
        <f t="shared" si="64"/>
        <v>0</v>
      </c>
      <c r="K67" s="92">
        <f t="shared" si="64"/>
        <v>0</v>
      </c>
      <c r="L67" s="92">
        <f t="shared" si="64"/>
        <v>0</v>
      </c>
      <c r="M67" s="155">
        <f t="shared" si="64"/>
        <v>0</v>
      </c>
      <c r="N67" s="35">
        <f t="shared" si="64"/>
        <v>0</v>
      </c>
      <c r="O67" s="92">
        <f t="shared" si="64"/>
        <v>0</v>
      </c>
      <c r="P67" s="92">
        <f t="shared" si="64"/>
        <v>0</v>
      </c>
      <c r="Q67" s="92">
        <f t="shared" si="64"/>
        <v>-20743.75673634035</v>
      </c>
      <c r="R67" s="92">
        <f t="shared" si="64"/>
        <v>0</v>
      </c>
      <c r="S67" s="155">
        <f t="shared" si="64"/>
        <v>0</v>
      </c>
      <c r="T67" s="35">
        <f t="shared" ref="T67:U67" si="65">T54+T65</f>
        <v>0</v>
      </c>
      <c r="U67" s="92">
        <f t="shared" si="65"/>
        <v>0</v>
      </c>
      <c r="V67" s="92">
        <f t="shared" ref="V67:W67" si="66">V54+V65</f>
        <v>-5100655.5156755038</v>
      </c>
      <c r="W67" s="92">
        <f t="shared" si="66"/>
        <v>0</v>
      </c>
      <c r="X67" s="155">
        <f t="shared" ref="X67" si="67">X54+X65</f>
        <v>286535.21479052107</v>
      </c>
      <c r="Y67" s="154">
        <f t="shared" si="64"/>
        <v>0</v>
      </c>
      <c r="Z67" s="35">
        <f t="shared" si="64"/>
        <v>-55137271.460930869</v>
      </c>
      <c r="AA67" s="92">
        <f t="shared" si="64"/>
        <v>-19123219.719212715</v>
      </c>
      <c r="AB67" s="92">
        <f t="shared" si="64"/>
        <v>-22940109.889799323</v>
      </c>
      <c r="AC67" s="155">
        <f t="shared" ref="AC67" si="68">AC54+AC65</f>
        <v>-470359.61073893483</v>
      </c>
      <c r="AD67" s="35">
        <f t="shared" si="64"/>
        <v>0</v>
      </c>
      <c r="AE67" s="155">
        <f t="shared" si="64"/>
        <v>0</v>
      </c>
      <c r="AF67" s="35">
        <f t="shared" si="64"/>
        <v>0</v>
      </c>
      <c r="AG67" s="92">
        <f t="shared" si="64"/>
        <v>7638007.5587933287</v>
      </c>
      <c r="AH67" s="92">
        <f t="shared" si="64"/>
        <v>0</v>
      </c>
      <c r="AI67" s="92">
        <f t="shared" si="64"/>
        <v>25563147</v>
      </c>
      <c r="AJ67" s="92">
        <f t="shared" si="64"/>
        <v>0</v>
      </c>
      <c r="AK67" s="155">
        <f t="shared" si="64"/>
        <v>0</v>
      </c>
      <c r="AL67" s="35">
        <f t="shared" si="64"/>
        <v>0</v>
      </c>
      <c r="AM67" s="92">
        <f t="shared" ref="AM67:AO67" si="69">AM54+AM65</f>
        <v>0</v>
      </c>
      <c r="AN67" s="92">
        <f t="shared" si="69"/>
        <v>13617936</v>
      </c>
      <c r="AO67" s="155">
        <f t="shared" si="69"/>
        <v>-344082.29787929845</v>
      </c>
      <c r="AP67" s="35">
        <f t="shared" si="64"/>
        <v>11495810.820444435</v>
      </c>
      <c r="AQ67" s="155">
        <f t="shared" si="64"/>
        <v>-12227254.634166686</v>
      </c>
      <c r="AR67" s="35">
        <f t="shared" si="64"/>
        <v>-2502028.2767103352</v>
      </c>
      <c r="AS67" s="92">
        <f t="shared" si="64"/>
        <v>70839343.314627215</v>
      </c>
      <c r="AT67" s="92">
        <f t="shared" ref="AT67:BB67" si="70">AT54+AT65</f>
        <v>-22786730.767553866</v>
      </c>
      <c r="AU67" s="92">
        <f t="shared" si="70"/>
        <v>-119616.25699999859</v>
      </c>
      <c r="AV67" s="92">
        <f t="shared" si="70"/>
        <v>-2829106.1541666668</v>
      </c>
      <c r="AW67" s="155">
        <f t="shared" si="70"/>
        <v>23459504.952026334</v>
      </c>
      <c r="AX67" s="35">
        <f t="shared" si="70"/>
        <v>-41383475.633493833</v>
      </c>
      <c r="AY67" s="92">
        <f t="shared" si="70"/>
        <v>26891641.18377804</v>
      </c>
      <c r="AZ67" s="92">
        <f t="shared" si="70"/>
        <v>6343966.0640676692</v>
      </c>
      <c r="BA67" s="92">
        <f t="shared" si="70"/>
        <v>86363975.252362356</v>
      </c>
      <c r="BB67" s="92">
        <f t="shared" si="70"/>
        <v>182406898.66774014</v>
      </c>
      <c r="BC67" s="155">
        <f t="shared" ref="BC67" si="71">BC54+BC65</f>
        <v>-4908337.0019617639</v>
      </c>
      <c r="BD67" s="35">
        <f t="shared" ref="BD67:BG67" si="72">BD54+BD65</f>
        <v>-4261950.6440678341</v>
      </c>
      <c r="BE67" s="92">
        <f t="shared" si="72"/>
        <v>-56434564.101593889</v>
      </c>
      <c r="BF67" s="92">
        <f t="shared" si="72"/>
        <v>1427866.196623839</v>
      </c>
      <c r="BG67" s="155">
        <f t="shared" si="72"/>
        <v>31529447.076732036</v>
      </c>
    </row>
    <row r="68" spans="1:59" ht="13.5" thickTop="1" x14ac:dyDescent="0.2">
      <c r="A68" s="14"/>
      <c r="B68" s="28"/>
      <c r="C68" s="28"/>
      <c r="D68" s="12"/>
      <c r="E68" s="12"/>
      <c r="F68" s="75"/>
      <c r="G68" s="76"/>
      <c r="H68" s="28"/>
      <c r="I68" s="12"/>
      <c r="J68" s="12"/>
      <c r="K68" s="12"/>
      <c r="L68" s="12"/>
      <c r="M68" s="75"/>
      <c r="N68" s="28"/>
      <c r="O68" s="12"/>
      <c r="P68" s="12"/>
      <c r="Q68" s="12"/>
      <c r="R68" s="12"/>
      <c r="S68" s="75"/>
      <c r="T68" s="28"/>
      <c r="U68" s="12"/>
      <c r="V68" s="12"/>
      <c r="W68" s="12"/>
      <c r="X68" s="75"/>
      <c r="Y68" s="76"/>
      <c r="Z68" s="28"/>
      <c r="AA68" s="12"/>
      <c r="AB68" s="12"/>
      <c r="AC68" s="75"/>
      <c r="AD68" s="28"/>
      <c r="AE68" s="75"/>
      <c r="AF68" s="28"/>
      <c r="AG68" s="12"/>
      <c r="AH68" s="12"/>
      <c r="AI68" s="12"/>
      <c r="AJ68" s="12"/>
      <c r="AK68" s="75"/>
      <c r="AL68" s="28"/>
      <c r="AM68" s="12"/>
      <c r="AN68" s="12"/>
      <c r="AO68" s="75"/>
      <c r="AP68" s="28"/>
      <c r="AQ68" s="75"/>
      <c r="AR68" s="28"/>
      <c r="AS68" s="12"/>
      <c r="AT68" s="12"/>
      <c r="AU68" s="12"/>
      <c r="AV68" s="12"/>
      <c r="AW68" s="75"/>
      <c r="AX68" s="28"/>
      <c r="AY68" s="12"/>
      <c r="AZ68" s="12"/>
      <c r="BA68" s="12"/>
      <c r="BB68" s="12"/>
      <c r="BC68" s="75"/>
      <c r="BD68" s="28"/>
      <c r="BE68" s="12"/>
      <c r="BF68" s="12"/>
      <c r="BG68" s="75"/>
    </row>
    <row r="69" spans="1:59" x14ac:dyDescent="0.2">
      <c r="A69" s="14"/>
      <c r="B69" s="28"/>
      <c r="C69" s="28"/>
      <c r="D69" s="12"/>
      <c r="E69" s="12"/>
      <c r="F69" s="75"/>
      <c r="G69" s="76"/>
      <c r="H69" s="28"/>
      <c r="I69" s="12"/>
      <c r="J69" s="12"/>
      <c r="K69" s="12"/>
      <c r="L69" s="12"/>
      <c r="M69" s="75"/>
      <c r="N69" s="28"/>
      <c r="O69" s="12"/>
      <c r="P69" s="12"/>
      <c r="Q69" s="12"/>
      <c r="R69" s="12"/>
      <c r="S69" s="75"/>
      <c r="T69" s="28"/>
      <c r="U69" s="12"/>
      <c r="V69" s="12"/>
      <c r="W69" s="12"/>
      <c r="X69" s="75"/>
      <c r="Y69" s="76"/>
      <c r="Z69" s="28"/>
      <c r="AA69" s="12"/>
      <c r="AB69" s="12"/>
      <c r="AC69" s="75"/>
      <c r="AD69" s="28"/>
      <c r="AE69" s="75"/>
      <c r="AF69" s="28"/>
      <c r="AG69" s="12"/>
      <c r="AH69" s="12"/>
      <c r="AI69" s="12"/>
      <c r="AJ69" s="12"/>
      <c r="AK69" s="75"/>
      <c r="AL69" s="28"/>
      <c r="AM69" s="12"/>
      <c r="AN69" s="12"/>
      <c r="AO69" s="75"/>
      <c r="AP69" s="28"/>
      <c r="AQ69" s="75"/>
      <c r="AR69" s="28"/>
      <c r="AS69" s="12"/>
      <c r="AT69" s="12"/>
      <c r="AU69" s="12"/>
      <c r="AV69" s="12"/>
      <c r="AW69" s="75"/>
      <c r="AX69" s="28"/>
      <c r="AY69" s="12"/>
      <c r="AZ69" s="12"/>
      <c r="BA69" s="12"/>
      <c r="BB69" s="12"/>
      <c r="BC69" s="75"/>
      <c r="BD69" s="28"/>
      <c r="BE69" s="12"/>
      <c r="BF69" s="12"/>
      <c r="BG69" s="75"/>
    </row>
    <row r="70" spans="1:59" s="187" customFormat="1" x14ac:dyDescent="0.2">
      <c r="A70" s="237" t="s">
        <v>149</v>
      </c>
      <c r="B70" s="17">
        <f t="shared" ref="B70:B71" si="73">SUM(C70:BG70)</f>
        <v>-6.1795567970919354E-2</v>
      </c>
      <c r="C70" s="17">
        <f t="shared" ref="C70" si="74">(((C40+Unadj_Op_revenue)/(C67+Unadj_rate_base))-Weighted_cost_debt-Weighted_cost_pref)/Percent_common-Unadj_ROE</f>
        <v>-1.2479161579267525E-2</v>
      </c>
      <c r="D70" s="16">
        <f t="shared" ref="D70:AS70" si="75">(((D40+Unadj_Op_revenue)/(D67+Unadj_rate_base))-Weighted_cost_debt-Weighted_cost_pref)/Percent_common-Unadj_ROE</f>
        <v>5.6606858750334998E-2</v>
      </c>
      <c r="E70" s="16">
        <f t="shared" si="75"/>
        <v>1.1975788058279924E-4</v>
      </c>
      <c r="F70" s="18">
        <f t="shared" si="75"/>
        <v>8.8151702054907466E-4</v>
      </c>
      <c r="G70" s="19">
        <f t="shared" si="75"/>
        <v>4.0738881110725933E-4</v>
      </c>
      <c r="H70" s="17">
        <f t="shared" si="75"/>
        <v>-3.4354389544480335E-4</v>
      </c>
      <c r="I70" s="16">
        <f t="shared" si="75"/>
        <v>-2.4557327552337804E-3</v>
      </c>
      <c r="J70" s="16">
        <f t="shared" si="75"/>
        <v>1.0540322413322284E-3</v>
      </c>
      <c r="K70" s="16">
        <f t="shared" si="75"/>
        <v>2.5098829392569688E-5</v>
      </c>
      <c r="L70" s="16">
        <f t="shared" si="75"/>
        <v>-3.0648583650663697E-5</v>
      </c>
      <c r="M70" s="18">
        <f t="shared" si="75"/>
        <v>-1.2019480698866047E-4</v>
      </c>
      <c r="N70" s="17">
        <f t="shared" si="75"/>
        <v>-7.5172151514896202E-5</v>
      </c>
      <c r="O70" s="16">
        <f t="shared" si="75"/>
        <v>-2.5206341545820216E-3</v>
      </c>
      <c r="P70" s="16">
        <f t="shared" si="75"/>
        <v>-4.8689566232303083E-4</v>
      </c>
      <c r="Q70" s="16">
        <f t="shared" si="75"/>
        <v>-8.4275756127590029E-4</v>
      </c>
      <c r="R70" s="16">
        <f t="shared" si="75"/>
        <v>-1.9619497574592526E-4</v>
      </c>
      <c r="S70" s="18">
        <f t="shared" si="75"/>
        <v>-2.8479922292375115E-4</v>
      </c>
      <c r="T70" s="17">
        <f t="shared" ref="T70:U70" si="76">(((T40+Unadj_Op_revenue)/(T67+Unadj_rate_base))-Weighted_cost_debt-Weighted_cost_pref)/Percent_common-Unadj_ROE</f>
        <v>1.095717413871844E-2</v>
      </c>
      <c r="U70" s="16">
        <f t="shared" si="76"/>
        <v>6.309103793816398E-3</v>
      </c>
      <c r="V70" s="16">
        <f t="shared" ref="V70:W70" si="77">(((V40+Unadj_Op_revenue)/(V67+Unadj_rate_base))-Weighted_cost_debt-Weighted_cost_pref)/Percent_common-Unadj_ROE</f>
        <v>2.1265950682291396E-3</v>
      </c>
      <c r="W70" s="16">
        <f t="shared" si="77"/>
        <v>-3.0889037989915991E-4</v>
      </c>
      <c r="X70" s="18">
        <f t="shared" ref="X70" si="78">(((X40+Unadj_Op_revenue)/(X67+Unadj_rate_base))-Weighted_cost_debt-Weighted_cost_pref)/Percent_common-Unadj_ROE</f>
        <v>-1.4505764807676291E-4</v>
      </c>
      <c r="Y70" s="19">
        <f t="shared" si="75"/>
        <v>4.7335344828051962E-3</v>
      </c>
      <c r="Z70" s="17">
        <f t="shared" si="75"/>
        <v>1.2264978457637438E-2</v>
      </c>
      <c r="AA70" s="16">
        <f t="shared" si="75"/>
        <v>4.0521641616954179E-3</v>
      </c>
      <c r="AB70" s="16">
        <f t="shared" si="75"/>
        <v>-0.13058177373748731</v>
      </c>
      <c r="AC70" s="18">
        <f t="shared" ref="AC70" si="79">(((AC40+Unadj_Op_revenue)/(AC67+Unadj_rate_base))-Weighted_cost_debt-Weighted_cost_pref)/Percent_common-Unadj_ROE</f>
        <v>-4.4586414692052989E-3</v>
      </c>
      <c r="AD70" s="17">
        <f t="shared" si="75"/>
        <v>8.5746291488078552E-4</v>
      </c>
      <c r="AE70" s="18">
        <f t="shared" si="75"/>
        <v>-4.1351715020913338E-3</v>
      </c>
      <c r="AF70" s="17">
        <f t="shared" si="75"/>
        <v>3.4234034064595464E-2</v>
      </c>
      <c r="AG70" s="16">
        <f t="shared" si="75"/>
        <v>-1.5633942323486361E-3</v>
      </c>
      <c r="AH70" s="16">
        <f t="shared" si="75"/>
        <v>2.8167822901405126E-4</v>
      </c>
      <c r="AI70" s="16">
        <f t="shared" si="75"/>
        <v>-1.0208621092738054E-2</v>
      </c>
      <c r="AJ70" s="16">
        <f t="shared" si="75"/>
        <v>4.8336711098517782E-4</v>
      </c>
      <c r="AK70" s="18">
        <f t="shared" si="75"/>
        <v>-2.3710527552039951E-6</v>
      </c>
      <c r="AL70" s="17">
        <f t="shared" si="75"/>
        <v>6.3863086044169126E-6</v>
      </c>
      <c r="AM70" s="16">
        <f t="shared" ref="AM70:AO70" si="80">(((AM40+Unadj_Op_revenue)/(AM67+Unadj_rate_base))-Weighted_cost_debt-Weighted_cost_pref)/Percent_common-Unadj_ROE</f>
        <v>-3.4829823550931727E-4</v>
      </c>
      <c r="AN70" s="16">
        <f t="shared" si="80"/>
        <v>9.2328223438137569E-3</v>
      </c>
      <c r="AO70" s="18">
        <f t="shared" si="80"/>
        <v>-6.9628406271702303E-3</v>
      </c>
      <c r="AP70" s="17">
        <f t="shared" si="75"/>
        <v>-2.3415453513336154E-3</v>
      </c>
      <c r="AQ70" s="18">
        <f t="shared" si="75"/>
        <v>3.5992454082570208E-2</v>
      </c>
      <c r="AR70" s="17">
        <f t="shared" si="75"/>
        <v>5.1882082745594027E-4</v>
      </c>
      <c r="AS70" s="16">
        <f t="shared" si="75"/>
        <v>-1.3941868973505675E-2</v>
      </c>
      <c r="AT70" s="16">
        <f t="shared" ref="AT70:BB70" si="81">(((AT40+Unadj_Op_revenue)/(AT67+Unadj_rate_base))-Weighted_cost_debt-Weighted_cost_pref)/Percent_common-Unadj_ROE</f>
        <v>4.8518542878057402E-3</v>
      </c>
      <c r="AU70" s="16">
        <f t="shared" si="81"/>
        <v>5.3485645425579986E-4</v>
      </c>
      <c r="AV70" s="16">
        <f t="shared" si="81"/>
        <v>4.6982175120713343E-4</v>
      </c>
      <c r="AW70" s="18">
        <f t="shared" si="81"/>
        <v>-4.7071256870334643E-3</v>
      </c>
      <c r="AX70" s="17">
        <f t="shared" si="81"/>
        <v>9.0338047146130418E-3</v>
      </c>
      <c r="AY70" s="16">
        <f t="shared" si="81"/>
        <v>-5.3727921633775072E-3</v>
      </c>
      <c r="AZ70" s="16">
        <f t="shared" si="81"/>
        <v>-1.3006623257802719E-3</v>
      </c>
      <c r="BA70" s="16">
        <f t="shared" si="81"/>
        <v>-1.5612452833630705E-2</v>
      </c>
      <c r="BB70" s="16">
        <f t="shared" si="81"/>
        <v>-3.5323282517084997E-2</v>
      </c>
      <c r="BC70" s="18">
        <f t="shared" ref="BC70" si="82">(((BC40+Unadj_Op_revenue)/(BC67+Unadj_rate_base))-Weighted_cost_debt-Weighted_cost_pref)/Percent_common-Unadj_ROE</f>
        <v>-2.3120739375298155E-2</v>
      </c>
      <c r="BD70" s="17">
        <f t="shared" ref="BD70:BG70" si="83">(((BD40+Unadj_Op_revenue)/(BD67+Unadj_rate_base))-Weighted_cost_debt-Weighted_cost_pref)/Percent_common-Unadj_ROE</f>
        <v>5.4265383500902292E-3</v>
      </c>
      <c r="BE70" s="16">
        <f t="shared" si="83"/>
        <v>2.345648814458115E-2</v>
      </c>
      <c r="BF70" s="16">
        <f t="shared" si="83"/>
        <v>-6.0735661612659753E-4</v>
      </c>
      <c r="BG70" s="18">
        <f t="shared" si="83"/>
        <v>-5.8355400221899584E-3</v>
      </c>
    </row>
    <row r="71" spans="1:59" x14ac:dyDescent="0.2">
      <c r="A71" s="14" t="s">
        <v>43</v>
      </c>
      <c r="B71" s="36">
        <f t="shared" si="73"/>
        <v>37678114.714260481</v>
      </c>
      <c r="C71" s="36">
        <f t="shared" ref="C71" si="84">-(C40-(C67*Overall_ROR))/gross_up_factor</f>
        <v>6780264.2270464059</v>
      </c>
      <c r="D71" s="93">
        <f t="shared" ref="D71:AS71" si="85">-(D40-(D67*Overall_ROR))/gross_up_factor</f>
        <v>-30756029.317547593</v>
      </c>
      <c r="E71" s="93">
        <f t="shared" si="85"/>
        <v>-65067.678502662136</v>
      </c>
      <c r="F71" s="157">
        <f t="shared" si="85"/>
        <v>-478951.91371601424</v>
      </c>
      <c r="G71" s="156">
        <f t="shared" si="85"/>
        <v>-221345.30151757802</v>
      </c>
      <c r="H71" s="36">
        <f t="shared" si="85"/>
        <v>186656.64114601974</v>
      </c>
      <c r="I71" s="93">
        <f t="shared" si="85"/>
        <v>1334265.6752806464</v>
      </c>
      <c r="J71" s="93">
        <f t="shared" si="85"/>
        <v>-572684.07454004721</v>
      </c>
      <c r="K71" s="93">
        <f t="shared" si="85"/>
        <v>-13636.869271247004</v>
      </c>
      <c r="L71" s="93">
        <f t="shared" si="85"/>
        <v>16652.200070990391</v>
      </c>
      <c r="M71" s="157">
        <f t="shared" si="85"/>
        <v>65305.072374091229</v>
      </c>
      <c r="N71" s="36">
        <f t="shared" si="85"/>
        <v>40843.052359645561</v>
      </c>
      <c r="O71" s="93">
        <f t="shared" si="85"/>
        <v>1369528.3516624556</v>
      </c>
      <c r="P71" s="93">
        <f t="shared" si="85"/>
        <v>264543.51284604659</v>
      </c>
      <c r="Q71" s="93">
        <f t="shared" si="85"/>
        <v>458090.87173366011</v>
      </c>
      <c r="R71" s="93">
        <f t="shared" si="85"/>
        <v>106598.00877859717</v>
      </c>
      <c r="S71" s="157">
        <f t="shared" si="85"/>
        <v>154739.08009081334</v>
      </c>
      <c r="T71" s="36">
        <f t="shared" ref="T71:V71" si="86">-(T40-(T67*Overall_ROR))/gross_up_factor</f>
        <v>-5953327.5028426554</v>
      </c>
      <c r="U71" s="93">
        <f t="shared" si="86"/>
        <v>-3427905.8321518279</v>
      </c>
      <c r="V71" s="93">
        <f t="shared" si="86"/>
        <v>-1096178.9907136585</v>
      </c>
      <c r="W71" s="93">
        <f t="shared" ref="W71:X71" si="87">-(W40-(W67*Overall_ROR))/gross_up_factor</f>
        <v>167828.45382725884</v>
      </c>
      <c r="X71" s="157">
        <f t="shared" si="87"/>
        <v>75939.03663644912</v>
      </c>
      <c r="Y71" s="156">
        <f t="shared" si="85"/>
        <v>-2571856.6361522055</v>
      </c>
      <c r="Z71" s="36">
        <f t="shared" si="85"/>
        <v>-5633294.092741346</v>
      </c>
      <c r="AA71" s="93">
        <f t="shared" si="85"/>
        <v>-1953791.2889789753</v>
      </c>
      <c r="AB71" s="93">
        <f t="shared" si="85"/>
        <v>69090950.319808364</v>
      </c>
      <c r="AC71" s="157">
        <f t="shared" ref="AC71" si="88">-(AC40-(AC67*Overall_ROR))/gross_up_factor</f>
        <v>2425803.1227054209</v>
      </c>
      <c r="AD71" s="36">
        <f t="shared" si="85"/>
        <v>-465882.67095156066</v>
      </c>
      <c r="AE71" s="157">
        <f t="shared" si="85"/>
        <v>2246749.9302927703</v>
      </c>
      <c r="AF71" s="36">
        <f t="shared" si="85"/>
        <v>-18600271.744320914</v>
      </c>
      <c r="AG71" s="93">
        <f t="shared" si="85"/>
        <v>780364.02094638185</v>
      </c>
      <c r="AH71" s="93">
        <f t="shared" si="85"/>
        <v>-153043.36013204776</v>
      </c>
      <c r="AI71" s="93">
        <f t="shared" si="85"/>
        <v>5469651.3508329149</v>
      </c>
      <c r="AJ71" s="93">
        <f t="shared" si="85"/>
        <v>-262626.35597158602</v>
      </c>
      <c r="AK71" s="157">
        <f t="shared" si="85"/>
        <v>1288.2567530212616</v>
      </c>
      <c r="AL71" s="36">
        <f t="shared" si="85"/>
        <v>-3469.8532828785769</v>
      </c>
      <c r="AM71" s="93">
        <f t="shared" ref="AM71:AO71" si="89">-(AM40-(AM67*Overall_ROR))/gross_up_factor</f>
        <v>189239.80201446149</v>
      </c>
      <c r="AN71" s="93">
        <f t="shared" si="89"/>
        <v>-5242169.8048817897</v>
      </c>
      <c r="AO71" s="157">
        <f t="shared" si="89"/>
        <v>3784913.8693687785</v>
      </c>
      <c r="AP71" s="36">
        <f t="shared" si="85"/>
        <v>1174510.1175702675</v>
      </c>
      <c r="AQ71" s="157">
        <f t="shared" si="85"/>
        <v>-19124694.30112794</v>
      </c>
      <c r="AR71" s="36">
        <f t="shared" si="85"/>
        <v>-255628.55646658764</v>
      </c>
      <c r="AS71" s="93">
        <f t="shared" si="85"/>
        <v>7546228.8098859675</v>
      </c>
      <c r="AT71" s="93">
        <f t="shared" ref="AT71:BB71" si="90">-(AT40-(AT67*Overall_ROR))/gross_up_factor</f>
        <v>-2328086.8353579119</v>
      </c>
      <c r="AU71" s="93">
        <f t="shared" si="90"/>
        <v>-289345.09626950143</v>
      </c>
      <c r="AV71" s="93">
        <f t="shared" si="90"/>
        <v>-225669.82280453044</v>
      </c>
      <c r="AW71" s="157">
        <f t="shared" si="90"/>
        <v>2396823.1862639068</v>
      </c>
      <c r="AX71" s="36">
        <f t="shared" si="90"/>
        <v>-4228088.9613562757</v>
      </c>
      <c r="AY71" s="93">
        <f t="shared" si="90"/>
        <v>2747479.5072519747</v>
      </c>
      <c r="AZ71" s="93">
        <f t="shared" si="90"/>
        <v>648153.70086977852</v>
      </c>
      <c r="BA71" s="93">
        <f t="shared" si="90"/>
        <v>8548266.4887767155</v>
      </c>
      <c r="BB71" s="93">
        <f t="shared" si="90"/>
        <v>21839277.95339001</v>
      </c>
      <c r="BC71" s="157">
        <f t="shared" ref="BC71" si="91">-(BC40-(BC67*Overall_ROR))/gross_up_factor</f>
        <v>12532677.633113012</v>
      </c>
      <c r="BD71" s="36">
        <f t="shared" ref="BD71:BG71" si="92">-(BD40-(BD67*Overall_ROR))/gross_up_factor</f>
        <v>-2889057.5892215641</v>
      </c>
      <c r="BE71" s="93">
        <f t="shared" si="92"/>
        <v>-11249012.274606543</v>
      </c>
      <c r="BF71" s="93">
        <f t="shared" si="92"/>
        <v>316128.59072814963</v>
      </c>
      <c r="BG71" s="157">
        <f t="shared" si="92"/>
        <v>2979470.5952629568</v>
      </c>
    </row>
    <row r="72" spans="1:59" x14ac:dyDescent="0.2">
      <c r="A72" s="14"/>
      <c r="B72" s="17"/>
      <c r="C72" s="17"/>
      <c r="D72" s="16"/>
      <c r="E72" s="16"/>
      <c r="F72" s="18"/>
      <c r="G72" s="19"/>
      <c r="H72" s="17"/>
      <c r="I72" s="16"/>
      <c r="J72" s="16"/>
      <c r="K72" s="16"/>
      <c r="L72" s="16"/>
      <c r="M72" s="18"/>
      <c r="N72" s="17"/>
      <c r="O72" s="16"/>
      <c r="P72" s="16"/>
      <c r="Q72" s="16"/>
      <c r="R72" s="16"/>
      <c r="S72" s="18"/>
      <c r="T72" s="17"/>
      <c r="U72" s="16"/>
      <c r="V72" s="16"/>
      <c r="W72" s="16"/>
      <c r="X72" s="18"/>
      <c r="Y72" s="19"/>
      <c r="Z72" s="17"/>
      <c r="AA72" s="16"/>
      <c r="AB72" s="16"/>
      <c r="AC72" s="18"/>
      <c r="AD72" s="17"/>
      <c r="AE72" s="18"/>
      <c r="AF72" s="17"/>
      <c r="AG72" s="16"/>
      <c r="AH72" s="16"/>
      <c r="AI72" s="16"/>
      <c r="AJ72" s="16"/>
      <c r="AK72" s="18"/>
      <c r="AL72" s="17"/>
      <c r="AM72" s="16"/>
      <c r="AN72" s="16"/>
      <c r="AO72" s="18"/>
      <c r="AP72" s="17"/>
      <c r="AQ72" s="18"/>
      <c r="AR72" s="17"/>
      <c r="AS72" s="16"/>
      <c r="AT72" s="16"/>
      <c r="AU72" s="16"/>
      <c r="AV72" s="16"/>
      <c r="AW72" s="18"/>
      <c r="AX72" s="17"/>
      <c r="AY72" s="16"/>
      <c r="AZ72" s="16"/>
      <c r="BA72" s="16"/>
      <c r="BB72" s="16"/>
      <c r="BC72" s="18"/>
      <c r="BD72" s="17"/>
      <c r="BE72" s="16"/>
      <c r="BF72" s="16"/>
      <c r="BG72" s="18"/>
    </row>
    <row r="73" spans="1:59" x14ac:dyDescent="0.2">
      <c r="A73" s="14" t="s">
        <v>97</v>
      </c>
      <c r="B73" s="28"/>
      <c r="C73" s="28"/>
      <c r="D73" s="12"/>
      <c r="E73" s="12"/>
      <c r="F73" s="75"/>
      <c r="G73" s="76"/>
      <c r="H73" s="28"/>
      <c r="I73" s="12"/>
      <c r="J73" s="12"/>
      <c r="K73" s="12"/>
      <c r="L73" s="12"/>
      <c r="M73" s="75"/>
      <c r="N73" s="28"/>
      <c r="O73" s="12"/>
      <c r="P73" s="12"/>
      <c r="Q73" s="12"/>
      <c r="R73" s="12"/>
      <c r="S73" s="75"/>
      <c r="T73" s="28"/>
      <c r="U73" s="12"/>
      <c r="V73" s="12"/>
      <c r="W73" s="12"/>
      <c r="X73" s="75"/>
      <c r="Y73" s="76"/>
      <c r="Z73" s="28"/>
      <c r="AA73" s="12"/>
      <c r="AB73" s="12"/>
      <c r="AC73" s="75"/>
      <c r="AD73" s="28"/>
      <c r="AE73" s="75"/>
      <c r="AF73" s="28"/>
      <c r="AG73" s="12"/>
      <c r="AH73" s="12"/>
      <c r="AI73" s="12"/>
      <c r="AJ73" s="12"/>
      <c r="AK73" s="75"/>
      <c r="AL73" s="28"/>
      <c r="AM73" s="12"/>
      <c r="AN73" s="12"/>
      <c r="AO73" s="75"/>
      <c r="AP73" s="28"/>
      <c r="AQ73" s="75"/>
      <c r="AR73" s="28"/>
      <c r="AS73" s="12"/>
      <c r="AT73" s="12"/>
      <c r="AU73" s="12"/>
      <c r="AV73" s="12"/>
      <c r="AW73" s="75"/>
      <c r="AX73" s="28"/>
      <c r="AY73" s="12"/>
      <c r="AZ73" s="12"/>
      <c r="BA73" s="12"/>
      <c r="BB73" s="12"/>
      <c r="BC73" s="75"/>
      <c r="BD73" s="28"/>
      <c r="BE73" s="12"/>
      <c r="BF73" s="12"/>
      <c r="BG73" s="75"/>
    </row>
    <row r="74" spans="1:59" x14ac:dyDescent="0.2">
      <c r="A74" s="14" t="s">
        <v>98</v>
      </c>
      <c r="B74" s="36">
        <f t="shared" ref="B74:B80" si="93">SUM(C74:BG74)</f>
        <v>-38336331.122467078</v>
      </c>
      <c r="C74" s="36">
        <f t="shared" ref="C74" si="94">C16-C29-C30-C31-C32-C37</f>
        <v>-6463994.9400000004</v>
      </c>
      <c r="D74" s="93">
        <f t="shared" ref="D74:AS74" si="95">D16-D29-D30-D31-D32-D37</f>
        <v>29321396.810773376</v>
      </c>
      <c r="E74" s="93">
        <f t="shared" si="95"/>
        <v>62032.559575037958</v>
      </c>
      <c r="F74" s="157">
        <f t="shared" si="95"/>
        <v>456610.92888002045</v>
      </c>
      <c r="G74" s="156">
        <f t="shared" si="95"/>
        <v>211020.52384552389</v>
      </c>
      <c r="H74" s="36">
        <f t="shared" si="95"/>
        <v>-177949.93579636046</v>
      </c>
      <c r="I74" s="93">
        <f t="shared" si="95"/>
        <v>-1272028.0928324289</v>
      </c>
      <c r="J74" s="93">
        <f t="shared" si="95"/>
        <v>545970.89967067912</v>
      </c>
      <c r="K74" s="93">
        <f t="shared" si="95"/>
        <v>13000.76973625276</v>
      </c>
      <c r="L74" s="93">
        <f t="shared" si="95"/>
        <v>-15875.448713248625</v>
      </c>
      <c r="M74" s="157">
        <f t="shared" si="95"/>
        <v>-62258.880074109882</v>
      </c>
      <c r="N74" s="36">
        <f t="shared" si="95"/>
        <v>-38937.904917300068</v>
      </c>
      <c r="O74" s="93">
        <f t="shared" si="95"/>
        <v>-1305645.921588074</v>
      </c>
      <c r="P74" s="93">
        <f t="shared" si="95"/>
        <v>-252203.73</v>
      </c>
      <c r="Q74" s="93">
        <f t="shared" si="95"/>
        <v>-438379.12901055615</v>
      </c>
      <c r="R74" s="93">
        <f t="shared" si="95"/>
        <v>-101625.68393873476</v>
      </c>
      <c r="S74" s="157">
        <f t="shared" si="95"/>
        <v>-147521.18755746336</v>
      </c>
      <c r="T74" s="36">
        <f t="shared" ref="T74:U74" si="96">T16-T29-T30-T31-T32-T37</f>
        <v>5675631.15033664</v>
      </c>
      <c r="U74" s="93">
        <f t="shared" si="96"/>
        <v>3268009.2120065186</v>
      </c>
      <c r="V74" s="93">
        <f t="shared" ref="V74:W74" si="97">V16-V29-V30-V31-V32-V37</f>
        <v>570520.87232600781</v>
      </c>
      <c r="W74" s="93">
        <f t="shared" si="97"/>
        <v>-160000</v>
      </c>
      <c r="X74" s="157">
        <f t="shared" ref="X74" si="98">X16-X29-X30-X31-X32-X37</f>
        <v>-39793.105350431266</v>
      </c>
      <c r="Y74" s="156">
        <f t="shared" si="95"/>
        <v>2451890.9183772579</v>
      </c>
      <c r="Z74" s="36">
        <f t="shared" si="95"/>
        <v>0</v>
      </c>
      <c r="AA74" s="93">
        <f t="shared" si="95"/>
        <v>0</v>
      </c>
      <c r="AB74" s="93">
        <f t="shared" si="95"/>
        <v>-75779202.472963661</v>
      </c>
      <c r="AC74" s="157">
        <f t="shared" ref="AC74" si="99">AC16-AC29-AC30-AC31-AC32-AC37</f>
        <v>-2675104.4628423811</v>
      </c>
      <c r="AD74" s="36">
        <f t="shared" si="95"/>
        <v>0</v>
      </c>
      <c r="AE74" s="157">
        <f t="shared" si="95"/>
        <v>-2141949</v>
      </c>
      <c r="AF74" s="36">
        <f t="shared" si="95"/>
        <v>0</v>
      </c>
      <c r="AG74" s="93">
        <f t="shared" si="95"/>
        <v>0</v>
      </c>
      <c r="AH74" s="93">
        <f t="shared" si="95"/>
        <v>0</v>
      </c>
      <c r="AI74" s="93">
        <f t="shared" si="95"/>
        <v>0</v>
      </c>
      <c r="AJ74" s="93">
        <f t="shared" si="95"/>
        <v>250376</v>
      </c>
      <c r="AK74" s="157">
        <f t="shared" si="95"/>
        <v>0</v>
      </c>
      <c r="AL74" s="36">
        <f t="shared" si="95"/>
        <v>3308</v>
      </c>
      <c r="AM74" s="93">
        <f t="shared" ref="AM74:AO74" si="100">AM16-AM29-AM30-AM31-AM32-AM37</f>
        <v>-180412.60365467297</v>
      </c>
      <c r="AN74" s="93">
        <f t="shared" si="100"/>
        <v>0</v>
      </c>
      <c r="AO74" s="157">
        <f t="shared" si="100"/>
        <v>0</v>
      </c>
      <c r="AP74" s="36">
        <f t="shared" si="95"/>
        <v>0</v>
      </c>
      <c r="AQ74" s="157">
        <f t="shared" si="95"/>
        <v>16792869.56643609</v>
      </c>
      <c r="AR74" s="36">
        <f t="shared" si="95"/>
        <v>0</v>
      </c>
      <c r="AS74" s="93">
        <f t="shared" si="95"/>
        <v>0</v>
      </c>
      <c r="AT74" s="93">
        <f t="shared" ref="AT74:BB74" si="101">AT16-AT29-AT30-AT31-AT32-AT37</f>
        <v>0</v>
      </c>
      <c r="AU74" s="93">
        <f t="shared" si="101"/>
        <v>208716</v>
      </c>
      <c r="AV74" s="93">
        <f t="shared" si="101"/>
        <v>-60419.600000000006</v>
      </c>
      <c r="AW74" s="157">
        <f t="shared" si="101"/>
        <v>0</v>
      </c>
      <c r="AX74" s="36">
        <f t="shared" si="101"/>
        <v>0</v>
      </c>
      <c r="AY74" s="93">
        <f t="shared" si="101"/>
        <v>0</v>
      </c>
      <c r="AZ74" s="93">
        <f t="shared" si="101"/>
        <v>0</v>
      </c>
      <c r="BA74" s="93">
        <f t="shared" si="101"/>
        <v>405882.31407772377</v>
      </c>
      <c r="BB74" s="93">
        <f t="shared" si="101"/>
        <v>-1793104.5099601755</v>
      </c>
      <c r="BC74" s="157">
        <f t="shared" ref="BC74" si="102">BC16-BC29-BC30-BC31-BC32-BC37</f>
        <v>-13017145.643060798</v>
      </c>
      <c r="BD74" s="36">
        <f t="shared" ref="BD74:BG74" si="103">BD16-BD29-BD30-BD31-BD32-BD37</f>
        <v>2305084.5267461999</v>
      </c>
      <c r="BE74" s="93">
        <f t="shared" si="103"/>
        <v>5165677.7015244085</v>
      </c>
      <c r="BF74" s="93">
        <f t="shared" si="103"/>
        <v>-151343.27845627139</v>
      </c>
      <c r="BG74" s="157">
        <f t="shared" si="103"/>
        <v>230565.65393785876</v>
      </c>
    </row>
    <row r="75" spans="1:59" x14ac:dyDescent="0.2">
      <c r="A75" s="14" t="s">
        <v>99</v>
      </c>
      <c r="B75" s="36">
        <f t="shared" si="93"/>
        <v>0</v>
      </c>
      <c r="C75" s="28">
        <f>'Restating Adj'!C75+'Pro Forma Adj'!C75</f>
        <v>0</v>
      </c>
      <c r="D75" s="12">
        <f>'Restating Adj'!D75+'Pro Forma Adj'!D75</f>
        <v>0</v>
      </c>
      <c r="E75" s="12">
        <f>'Restating Adj'!E75+'Pro Forma Adj'!E75</f>
        <v>0</v>
      </c>
      <c r="F75" s="75">
        <f>'Restating Adj'!F75+'Pro Forma Adj'!F75</f>
        <v>0</v>
      </c>
      <c r="G75" s="76">
        <f>'Restating Adj'!G75+'Pro Forma Adj'!G75</f>
        <v>0</v>
      </c>
      <c r="H75" s="28">
        <f>'Restating Adj'!H75+'Pro Forma Adj'!H75</f>
        <v>0</v>
      </c>
      <c r="I75" s="12">
        <f>'Restating Adj'!I75+'Pro Forma Adj'!I75</f>
        <v>0</v>
      </c>
      <c r="J75" s="12">
        <f>'Restating Adj'!J75+'Pro Forma Adj'!J75</f>
        <v>0</v>
      </c>
      <c r="K75" s="12">
        <f>'Restating Adj'!K75+'Pro Forma Adj'!K75</f>
        <v>0</v>
      </c>
      <c r="L75" s="12">
        <f>'Restating Adj'!L75+'Pro Forma Adj'!L75</f>
        <v>0</v>
      </c>
      <c r="M75" s="75">
        <f>'Restating Adj'!M75+'Pro Forma Adj'!M75</f>
        <v>0</v>
      </c>
      <c r="N75" s="28">
        <f>'Restating Adj'!N75+'Pro Forma Adj'!N75</f>
        <v>0</v>
      </c>
      <c r="O75" s="12">
        <f>'Restating Adj'!O75+'Pro Forma Adj'!O75</f>
        <v>0</v>
      </c>
      <c r="P75" s="12">
        <f>'Restating Adj'!P75+'Pro Forma Adj'!P75</f>
        <v>0</v>
      </c>
      <c r="Q75" s="12">
        <f>'Restating Adj'!Q75+'Pro Forma Adj'!Q75</f>
        <v>0</v>
      </c>
      <c r="R75" s="12">
        <f>'Restating Adj'!R75+'Pro Forma Adj'!R75</f>
        <v>0</v>
      </c>
      <c r="S75" s="75">
        <f>'Restating Adj'!S75+'Pro Forma Adj'!S75</f>
        <v>0</v>
      </c>
      <c r="T75" s="28">
        <f>'Restating Adj'!T75+'Pro Forma Adj'!T75</f>
        <v>0</v>
      </c>
      <c r="U75" s="12">
        <f>'Restating Adj'!U75+'Pro Forma Adj'!U75</f>
        <v>0</v>
      </c>
      <c r="V75" s="12">
        <f>'Restating Adj'!V75+'Pro Forma Adj'!V75</f>
        <v>0</v>
      </c>
      <c r="W75" s="12">
        <f>'Restating Adj'!W75+'Pro Forma Adj'!W75</f>
        <v>0</v>
      </c>
      <c r="X75" s="75">
        <f>'Restating Adj'!X75+'Pro Forma Adj'!X75</f>
        <v>0</v>
      </c>
      <c r="Y75" s="76">
        <f>'Restating Adj'!Y75+'Pro Forma Adj'!Y75</f>
        <v>0</v>
      </c>
      <c r="Z75" s="28">
        <f>'Restating Adj'!Z75+'Pro Forma Adj'!Z75</f>
        <v>0</v>
      </c>
      <c r="AA75" s="12">
        <f>'Restating Adj'!AA75+'Pro Forma Adj'!AA75</f>
        <v>0</v>
      </c>
      <c r="AB75" s="12">
        <f>'Restating Adj'!AB75+'Pro Forma Adj'!AB75</f>
        <v>0</v>
      </c>
      <c r="AC75" s="75">
        <f>'Restating Adj'!AC75+'Pro Forma Adj'!AC75</f>
        <v>0</v>
      </c>
      <c r="AD75" s="28">
        <f>'Restating Adj'!AD75+'Pro Forma Adj'!AD75</f>
        <v>0</v>
      </c>
      <c r="AE75" s="75">
        <f>'Restating Adj'!AE75+'Pro Forma Adj'!AE75</f>
        <v>0</v>
      </c>
      <c r="AF75" s="28">
        <f>'Restating Adj'!AF75+'Pro Forma Adj'!AF75</f>
        <v>0</v>
      </c>
      <c r="AG75" s="12">
        <f>'Restating Adj'!AG75+'Pro Forma Adj'!AG75</f>
        <v>0</v>
      </c>
      <c r="AH75" s="12">
        <f>'Restating Adj'!AH75+'Pro Forma Adj'!AH75</f>
        <v>0</v>
      </c>
      <c r="AI75" s="12">
        <f>'Restating Adj'!AI75+'Pro Forma Adj'!AI75</f>
        <v>0</v>
      </c>
      <c r="AJ75" s="12">
        <f>'Restating Adj'!AJ75+'Pro Forma Adj'!AJ75</f>
        <v>0</v>
      </c>
      <c r="AK75" s="75">
        <f>'Restating Adj'!AK75+'Pro Forma Adj'!AK75</f>
        <v>0</v>
      </c>
      <c r="AL75" s="28">
        <f>'Restating Adj'!AL75+'Pro Forma Adj'!AL75</f>
        <v>0</v>
      </c>
      <c r="AM75" s="12">
        <f>'Restating Adj'!AM75+'Pro Forma Adj'!AM75</f>
        <v>0</v>
      </c>
      <c r="AN75" s="12">
        <f>'Restating Adj'!AN75+'Pro Forma Adj'!AN75</f>
        <v>0</v>
      </c>
      <c r="AO75" s="75">
        <f>'Restating Adj'!AO75+'Pro Forma Adj'!AO75</f>
        <v>0</v>
      </c>
      <c r="AP75" s="28">
        <f>'Restating Adj'!AP75+'Pro Forma Adj'!AP75</f>
        <v>0</v>
      </c>
      <c r="AQ75" s="75">
        <f>'Restating Adj'!AQ75+'Pro Forma Adj'!AQ75</f>
        <v>0</v>
      </c>
      <c r="AR75" s="28">
        <f>'Restating Adj'!AR75+'Pro Forma Adj'!AR75</f>
        <v>0</v>
      </c>
      <c r="AS75" s="12">
        <f>'Restating Adj'!AS75+'Pro Forma Adj'!AS75</f>
        <v>0</v>
      </c>
      <c r="AT75" s="12">
        <f>'Restating Adj'!AT75+'Pro Forma Adj'!AT75</f>
        <v>0</v>
      </c>
      <c r="AU75" s="12">
        <f>'Restating Adj'!AU75+'Pro Forma Adj'!AU75</f>
        <v>0</v>
      </c>
      <c r="AV75" s="12">
        <f>'Restating Adj'!AV75+'Pro Forma Adj'!AV75</f>
        <v>0</v>
      </c>
      <c r="AW75" s="75">
        <f>'Restating Adj'!AW75+'Pro Forma Adj'!AW75</f>
        <v>0</v>
      </c>
      <c r="AX75" s="28">
        <f>'Restating Adj'!AX75+'Pro Forma Adj'!AX75</f>
        <v>0</v>
      </c>
      <c r="AY75" s="12">
        <f>'Restating Adj'!AY75+'Pro Forma Adj'!AY75</f>
        <v>0</v>
      </c>
      <c r="AZ75" s="12">
        <f>'Restating Adj'!AZ75+'Pro Forma Adj'!AZ75</f>
        <v>0</v>
      </c>
      <c r="BA75" s="12">
        <f>'Restating Adj'!BA75+'Pro Forma Adj'!BA75</f>
        <v>0</v>
      </c>
      <c r="BB75" s="12">
        <f>'Restating Adj'!BB75+'Pro Forma Adj'!BB75</f>
        <v>0</v>
      </c>
      <c r="BC75" s="75">
        <f>'Restating Adj'!BC75+'Pro Forma Adj'!BC75</f>
        <v>0</v>
      </c>
      <c r="BD75" s="28">
        <f>'Restating Adj'!BD75+'Pro Forma Adj'!BD75</f>
        <v>0</v>
      </c>
      <c r="BE75" s="12">
        <f>'Restating Adj'!BE75+'Pro Forma Adj'!BE75</f>
        <v>0</v>
      </c>
      <c r="BF75" s="12">
        <f>'Restating Adj'!BF75+'Pro Forma Adj'!BF75</f>
        <v>0</v>
      </c>
      <c r="BG75" s="75">
        <f>'Restating Adj'!BG75+'Pro Forma Adj'!BG75</f>
        <v>0</v>
      </c>
    </row>
    <row r="76" spans="1:59" x14ac:dyDescent="0.2">
      <c r="A76" s="14" t="s">
        <v>100</v>
      </c>
      <c r="B76" s="36">
        <f t="shared" si="93"/>
        <v>-4620.2408263712532</v>
      </c>
      <c r="C76" s="29">
        <f>'Restating Adj'!C76+'Pro Forma Adj'!C76</f>
        <v>0</v>
      </c>
      <c r="D76" s="77">
        <f>'Restating Adj'!D76+'Pro Forma Adj'!D76</f>
        <v>0</v>
      </c>
      <c r="E76" s="77">
        <f>'Restating Adj'!E76+'Pro Forma Adj'!E76</f>
        <v>0</v>
      </c>
      <c r="F76" s="78">
        <f>'Restating Adj'!F76+'Pro Forma Adj'!F76</f>
        <v>0</v>
      </c>
      <c r="G76" s="87">
        <f>'Restating Adj'!G76+'Pro Forma Adj'!G76</f>
        <v>0</v>
      </c>
      <c r="H76" s="29">
        <f>'Restating Adj'!H76+'Pro Forma Adj'!H76</f>
        <v>0</v>
      </c>
      <c r="I76" s="77">
        <f>'Restating Adj'!I76+'Pro Forma Adj'!I76</f>
        <v>0</v>
      </c>
      <c r="J76" s="77">
        <f>'Restating Adj'!J76+'Pro Forma Adj'!J76</f>
        <v>0</v>
      </c>
      <c r="K76" s="77">
        <f>'Restating Adj'!K76+'Pro Forma Adj'!K76</f>
        <v>0</v>
      </c>
      <c r="L76" s="77">
        <f>'Restating Adj'!L76+'Pro Forma Adj'!L76</f>
        <v>0</v>
      </c>
      <c r="M76" s="78">
        <f>'Restating Adj'!M76+'Pro Forma Adj'!M76</f>
        <v>0</v>
      </c>
      <c r="N76" s="29">
        <f>'Restating Adj'!N76+'Pro Forma Adj'!N76</f>
        <v>0</v>
      </c>
      <c r="O76" s="77">
        <f>'Restating Adj'!O76+'Pro Forma Adj'!O76</f>
        <v>0</v>
      </c>
      <c r="P76" s="77">
        <f>'Restating Adj'!P76+'Pro Forma Adj'!P76</f>
        <v>0</v>
      </c>
      <c r="Q76" s="77">
        <f>'Restating Adj'!Q76+'Pro Forma Adj'!Q76</f>
        <v>0</v>
      </c>
      <c r="R76" s="77">
        <f>'Restating Adj'!R76+'Pro Forma Adj'!R76</f>
        <v>0</v>
      </c>
      <c r="S76" s="78">
        <f>'Restating Adj'!S76+'Pro Forma Adj'!S76</f>
        <v>0</v>
      </c>
      <c r="T76" s="29">
        <f>'Restating Adj'!T76+'Pro Forma Adj'!T76</f>
        <v>0</v>
      </c>
      <c r="U76" s="77">
        <f>'Restating Adj'!U76+'Pro Forma Adj'!U76</f>
        <v>0</v>
      </c>
      <c r="V76" s="77">
        <f>'Restating Adj'!V76+'Pro Forma Adj'!V76</f>
        <v>0</v>
      </c>
      <c r="W76" s="77">
        <f>'Restating Adj'!W76+'Pro Forma Adj'!W76</f>
        <v>0</v>
      </c>
      <c r="X76" s="78">
        <f>'Restating Adj'!X76+'Pro Forma Adj'!X76</f>
        <v>0</v>
      </c>
      <c r="Y76" s="87">
        <f>'Restating Adj'!Y76+'Pro Forma Adj'!Y76</f>
        <v>0</v>
      </c>
      <c r="Z76" s="29">
        <f>'Restating Adj'!Z76+'Pro Forma Adj'!Z76</f>
        <v>0</v>
      </c>
      <c r="AA76" s="77">
        <f>'Restating Adj'!AA76+'Pro Forma Adj'!AA76</f>
        <v>0</v>
      </c>
      <c r="AB76" s="77">
        <f>'Restating Adj'!AB76+'Pro Forma Adj'!AB76</f>
        <v>0</v>
      </c>
      <c r="AC76" s="78">
        <f>'Restating Adj'!AC76+'Pro Forma Adj'!AC76</f>
        <v>0</v>
      </c>
      <c r="AD76" s="29">
        <f>'Restating Adj'!AD76+'Pro Forma Adj'!AD76</f>
        <v>0</v>
      </c>
      <c r="AE76" s="78">
        <f>'Restating Adj'!AE76+'Pro Forma Adj'!AE76</f>
        <v>0</v>
      </c>
      <c r="AF76" s="29">
        <f>'Restating Adj'!AF76+'Pro Forma Adj'!AF76</f>
        <v>0</v>
      </c>
      <c r="AG76" s="77">
        <f>'Restating Adj'!AG76+'Pro Forma Adj'!AG76</f>
        <v>0</v>
      </c>
      <c r="AH76" s="77">
        <f>'Restating Adj'!AH76+'Pro Forma Adj'!AH76</f>
        <v>0</v>
      </c>
      <c r="AI76" s="77">
        <f>'Restating Adj'!AI76+'Pro Forma Adj'!AI76</f>
        <v>0</v>
      </c>
      <c r="AJ76" s="77">
        <f>'Restating Adj'!AJ76+'Pro Forma Adj'!AJ76</f>
        <v>0</v>
      </c>
      <c r="AK76" s="78">
        <f>'Restating Adj'!AK76+'Pro Forma Adj'!AK76</f>
        <v>-4620.2408263712532</v>
      </c>
      <c r="AL76" s="29">
        <f>'Restating Adj'!AL76+'Pro Forma Adj'!AL76</f>
        <v>0</v>
      </c>
      <c r="AM76" s="77">
        <f>'Restating Adj'!AM76+'Pro Forma Adj'!AM76</f>
        <v>0</v>
      </c>
      <c r="AN76" s="77">
        <f>'Restating Adj'!AN76+'Pro Forma Adj'!AN76</f>
        <v>0</v>
      </c>
      <c r="AO76" s="78">
        <f>'Restating Adj'!AO76+'Pro Forma Adj'!AO76</f>
        <v>0</v>
      </c>
      <c r="AP76" s="29">
        <f>'Restating Adj'!AP76+'Pro Forma Adj'!AP76</f>
        <v>0</v>
      </c>
      <c r="AQ76" s="78">
        <f>'Restating Adj'!AQ76+'Pro Forma Adj'!AQ76</f>
        <v>0</v>
      </c>
      <c r="AR76" s="29">
        <f>'Restating Adj'!AR76+'Pro Forma Adj'!AR76</f>
        <v>0</v>
      </c>
      <c r="AS76" s="77">
        <f>'Restating Adj'!AS76+'Pro Forma Adj'!AS76</f>
        <v>0</v>
      </c>
      <c r="AT76" s="77">
        <f>'Restating Adj'!AT76+'Pro Forma Adj'!AT76</f>
        <v>0</v>
      </c>
      <c r="AU76" s="77">
        <f>'Restating Adj'!AU76+'Pro Forma Adj'!AU76</f>
        <v>0</v>
      </c>
      <c r="AV76" s="77">
        <f>'Restating Adj'!AV76+'Pro Forma Adj'!AV76</f>
        <v>0</v>
      </c>
      <c r="AW76" s="78">
        <f>'Restating Adj'!AW76+'Pro Forma Adj'!AW76</f>
        <v>0</v>
      </c>
      <c r="AX76" s="29">
        <f>'Restating Adj'!AX76+'Pro Forma Adj'!AX76</f>
        <v>0</v>
      </c>
      <c r="AY76" s="77">
        <f>'Restating Adj'!AY76+'Pro Forma Adj'!AY76</f>
        <v>0</v>
      </c>
      <c r="AZ76" s="77">
        <f>'Restating Adj'!AZ76+'Pro Forma Adj'!AZ76</f>
        <v>0</v>
      </c>
      <c r="BA76" s="77">
        <f>'Restating Adj'!BA76+'Pro Forma Adj'!BA76</f>
        <v>0</v>
      </c>
      <c r="BB76" s="77">
        <f>'Restating Adj'!BB76+'Pro Forma Adj'!BB76</f>
        <v>0</v>
      </c>
      <c r="BC76" s="78">
        <f>'Restating Adj'!BC76+'Pro Forma Adj'!BC76</f>
        <v>0</v>
      </c>
      <c r="BD76" s="29">
        <f>'Restating Adj'!BD76+'Pro Forma Adj'!BD76</f>
        <v>0</v>
      </c>
      <c r="BE76" s="77">
        <f>'Restating Adj'!BE76+'Pro Forma Adj'!BE76</f>
        <v>0</v>
      </c>
      <c r="BF76" s="77">
        <f>'Restating Adj'!BF76+'Pro Forma Adj'!BF76</f>
        <v>0</v>
      </c>
      <c r="BG76" s="78">
        <f>'Restating Adj'!BG76+'Pro Forma Adj'!BG76</f>
        <v>0</v>
      </c>
    </row>
    <row r="77" spans="1:59" x14ac:dyDescent="0.2">
      <c r="A77" s="14" t="s">
        <v>101</v>
      </c>
      <c r="B77" s="36">
        <f t="shared" si="93"/>
        <v>1670854.9220341332</v>
      </c>
      <c r="C77" s="29">
        <f>'Restating Adj'!C77+'Pro Forma Adj'!C77</f>
        <v>0</v>
      </c>
      <c r="D77" s="77">
        <f>'Restating Adj'!D77+'Pro Forma Adj'!D77</f>
        <v>0</v>
      </c>
      <c r="E77" s="77">
        <f>'Restating Adj'!E77+'Pro Forma Adj'!E77</f>
        <v>0</v>
      </c>
      <c r="F77" s="78">
        <f>'Restating Adj'!F77+'Pro Forma Adj'!F77</f>
        <v>0</v>
      </c>
      <c r="G77" s="87">
        <f>'Restating Adj'!G77+'Pro Forma Adj'!G77</f>
        <v>0</v>
      </c>
      <c r="H77" s="29">
        <f>'Restating Adj'!H77+'Pro Forma Adj'!H77</f>
        <v>0</v>
      </c>
      <c r="I77" s="77">
        <f>'Restating Adj'!I77+'Pro Forma Adj'!I77</f>
        <v>0</v>
      </c>
      <c r="J77" s="77">
        <f>'Restating Adj'!J77+'Pro Forma Adj'!J77</f>
        <v>0</v>
      </c>
      <c r="K77" s="77">
        <f>'Restating Adj'!K77+'Pro Forma Adj'!K77</f>
        <v>0</v>
      </c>
      <c r="L77" s="77">
        <f>'Restating Adj'!L77+'Pro Forma Adj'!L77</f>
        <v>0</v>
      </c>
      <c r="M77" s="78">
        <f>'Restating Adj'!M77+'Pro Forma Adj'!M77</f>
        <v>0</v>
      </c>
      <c r="N77" s="29">
        <f>'Restating Adj'!N77+'Pro Forma Adj'!N77</f>
        <v>0</v>
      </c>
      <c r="O77" s="77">
        <f>'Restating Adj'!O77+'Pro Forma Adj'!O77</f>
        <v>0</v>
      </c>
      <c r="P77" s="77">
        <f>'Restating Adj'!P77+'Pro Forma Adj'!P77</f>
        <v>0</v>
      </c>
      <c r="Q77" s="77">
        <f>'Restating Adj'!Q77+'Pro Forma Adj'!Q77</f>
        <v>0</v>
      </c>
      <c r="R77" s="77">
        <f>'Restating Adj'!R77+'Pro Forma Adj'!R77</f>
        <v>0</v>
      </c>
      <c r="S77" s="78">
        <f>'Restating Adj'!S77+'Pro Forma Adj'!S77</f>
        <v>0</v>
      </c>
      <c r="T77" s="29">
        <f>'Restating Adj'!T77+'Pro Forma Adj'!T77</f>
        <v>0</v>
      </c>
      <c r="U77" s="77">
        <f>'Restating Adj'!U77+'Pro Forma Adj'!U77</f>
        <v>0</v>
      </c>
      <c r="V77" s="77">
        <f>'Restating Adj'!V77+'Pro Forma Adj'!V77</f>
        <v>0</v>
      </c>
      <c r="W77" s="77">
        <f>'Restating Adj'!W77+'Pro Forma Adj'!W77</f>
        <v>0</v>
      </c>
      <c r="X77" s="78">
        <f>'Restating Adj'!X77+'Pro Forma Adj'!X77</f>
        <v>0</v>
      </c>
      <c r="Y77" s="87">
        <f>'Restating Adj'!Y77+'Pro Forma Adj'!Y77</f>
        <v>0</v>
      </c>
      <c r="Z77" s="29">
        <f>'Restating Adj'!Z77+'Pro Forma Adj'!Z77</f>
        <v>0</v>
      </c>
      <c r="AA77" s="77">
        <f>'Restating Adj'!AA77+'Pro Forma Adj'!AA77</f>
        <v>0</v>
      </c>
      <c r="AB77" s="77">
        <f>'Restating Adj'!AB77+'Pro Forma Adj'!AB77</f>
        <v>0</v>
      </c>
      <c r="AC77" s="78">
        <f>'Restating Adj'!AC77+'Pro Forma Adj'!AC77</f>
        <v>0</v>
      </c>
      <c r="AD77" s="29">
        <f>'Restating Adj'!AD77+'Pro Forma Adj'!AD77</f>
        <v>1670854.9220341332</v>
      </c>
      <c r="AE77" s="78">
        <f>'Restating Adj'!AE77+'Pro Forma Adj'!AE77</f>
        <v>0</v>
      </c>
      <c r="AF77" s="29">
        <f>'Restating Adj'!AF77+'Pro Forma Adj'!AF77</f>
        <v>0</v>
      </c>
      <c r="AG77" s="77">
        <f>'Restating Adj'!AG77+'Pro Forma Adj'!AG77</f>
        <v>0</v>
      </c>
      <c r="AH77" s="77">
        <f>'Restating Adj'!AH77+'Pro Forma Adj'!AH77</f>
        <v>0</v>
      </c>
      <c r="AI77" s="77">
        <f>'Restating Adj'!AI77+'Pro Forma Adj'!AI77</f>
        <v>0</v>
      </c>
      <c r="AJ77" s="77">
        <f>'Restating Adj'!AJ77+'Pro Forma Adj'!AJ77</f>
        <v>0</v>
      </c>
      <c r="AK77" s="78">
        <f>'Restating Adj'!AK77+'Pro Forma Adj'!AK77</f>
        <v>0</v>
      </c>
      <c r="AL77" s="29">
        <f>'Restating Adj'!AL77+'Pro Forma Adj'!AL77</f>
        <v>0</v>
      </c>
      <c r="AM77" s="77">
        <f>'Restating Adj'!AM77+'Pro Forma Adj'!AM77</f>
        <v>0</v>
      </c>
      <c r="AN77" s="77">
        <f>'Restating Adj'!AN77+'Pro Forma Adj'!AN77</f>
        <v>0</v>
      </c>
      <c r="AO77" s="78">
        <f>'Restating Adj'!AO77+'Pro Forma Adj'!AO77</f>
        <v>0</v>
      </c>
      <c r="AP77" s="29">
        <f>'Restating Adj'!AP77+'Pro Forma Adj'!AP77</f>
        <v>0</v>
      </c>
      <c r="AQ77" s="78">
        <f>'Restating Adj'!AQ77+'Pro Forma Adj'!AQ77</f>
        <v>0</v>
      </c>
      <c r="AR77" s="29">
        <f>'Restating Adj'!AR77+'Pro Forma Adj'!AR77</f>
        <v>0</v>
      </c>
      <c r="AS77" s="77">
        <f>'Restating Adj'!AS77+'Pro Forma Adj'!AS77</f>
        <v>0</v>
      </c>
      <c r="AT77" s="77">
        <f>'Restating Adj'!AT77+'Pro Forma Adj'!AT77</f>
        <v>0</v>
      </c>
      <c r="AU77" s="77">
        <f>'Restating Adj'!AU77+'Pro Forma Adj'!AU77</f>
        <v>0</v>
      </c>
      <c r="AV77" s="77">
        <f>'Restating Adj'!AV77+'Pro Forma Adj'!AV77</f>
        <v>0</v>
      </c>
      <c r="AW77" s="78">
        <f>'Restating Adj'!AW77+'Pro Forma Adj'!AW77</f>
        <v>0</v>
      </c>
      <c r="AX77" s="29">
        <f>'Restating Adj'!AX77+'Pro Forma Adj'!AX77</f>
        <v>0</v>
      </c>
      <c r="AY77" s="77">
        <f>'Restating Adj'!AY77+'Pro Forma Adj'!AY77</f>
        <v>0</v>
      </c>
      <c r="AZ77" s="77">
        <f>'Restating Adj'!AZ77+'Pro Forma Adj'!AZ77</f>
        <v>0</v>
      </c>
      <c r="BA77" s="77">
        <f>'Restating Adj'!BA77+'Pro Forma Adj'!BA77</f>
        <v>0</v>
      </c>
      <c r="BB77" s="77">
        <f>'Restating Adj'!BB77+'Pro Forma Adj'!BB77</f>
        <v>0</v>
      </c>
      <c r="BC77" s="78">
        <f>'Restating Adj'!BC77+'Pro Forma Adj'!BC77</f>
        <v>0</v>
      </c>
      <c r="BD77" s="29">
        <f>'Restating Adj'!BD77+'Pro Forma Adj'!BD77</f>
        <v>0</v>
      </c>
      <c r="BE77" s="77">
        <f>'Restating Adj'!BE77+'Pro Forma Adj'!BE77</f>
        <v>0</v>
      </c>
      <c r="BF77" s="77">
        <f>'Restating Adj'!BF77+'Pro Forma Adj'!BF77</f>
        <v>0</v>
      </c>
      <c r="BG77" s="78">
        <f>'Restating Adj'!BG77+'Pro Forma Adj'!BG77</f>
        <v>0</v>
      </c>
    </row>
    <row r="78" spans="1:59" x14ac:dyDescent="0.2">
      <c r="A78" s="14" t="s">
        <v>102</v>
      </c>
      <c r="B78" s="36">
        <f t="shared" si="93"/>
        <v>84016800.663562</v>
      </c>
      <c r="C78" s="29">
        <f>'Restating Adj'!C78+'Pro Forma Adj'!C78</f>
        <v>0</v>
      </c>
      <c r="D78" s="77">
        <f>'Restating Adj'!D78+'Pro Forma Adj'!D78</f>
        <v>0</v>
      </c>
      <c r="E78" s="77">
        <f>'Restating Adj'!E78+'Pro Forma Adj'!E78</f>
        <v>0</v>
      </c>
      <c r="F78" s="78">
        <f>'Restating Adj'!F78+'Pro Forma Adj'!F78</f>
        <v>0</v>
      </c>
      <c r="G78" s="87">
        <f>'Restating Adj'!G78+'Pro Forma Adj'!G78</f>
        <v>0</v>
      </c>
      <c r="H78" s="29">
        <f>'Restating Adj'!H78+'Pro Forma Adj'!H78</f>
        <v>0</v>
      </c>
      <c r="I78" s="77">
        <f>'Restating Adj'!I78+'Pro Forma Adj'!I78</f>
        <v>0</v>
      </c>
      <c r="J78" s="77">
        <f>'Restating Adj'!J78+'Pro Forma Adj'!J78</f>
        <v>0</v>
      </c>
      <c r="K78" s="77">
        <f>'Restating Adj'!K78+'Pro Forma Adj'!K78</f>
        <v>0</v>
      </c>
      <c r="L78" s="77">
        <f>'Restating Adj'!L78+'Pro Forma Adj'!L78</f>
        <v>0</v>
      </c>
      <c r="M78" s="78">
        <f>'Restating Adj'!M78+'Pro Forma Adj'!M78</f>
        <v>0</v>
      </c>
      <c r="N78" s="29">
        <f>'Restating Adj'!N78+'Pro Forma Adj'!N78</f>
        <v>0</v>
      </c>
      <c r="O78" s="77">
        <f>'Restating Adj'!O78+'Pro Forma Adj'!O78</f>
        <v>0</v>
      </c>
      <c r="P78" s="77">
        <f>'Restating Adj'!P78+'Pro Forma Adj'!P78</f>
        <v>0</v>
      </c>
      <c r="Q78" s="77">
        <f>'Restating Adj'!Q78+'Pro Forma Adj'!Q78</f>
        <v>-133728.44429361407</v>
      </c>
      <c r="R78" s="77">
        <f>'Restating Adj'!R78+'Pro Forma Adj'!R78</f>
        <v>0</v>
      </c>
      <c r="S78" s="78">
        <f>'Restating Adj'!S78+'Pro Forma Adj'!S78</f>
        <v>0</v>
      </c>
      <c r="T78" s="29">
        <f>'Restating Adj'!T78+'Pro Forma Adj'!T78</f>
        <v>0</v>
      </c>
      <c r="U78" s="77">
        <f>'Restating Adj'!U78+'Pro Forma Adj'!U78</f>
        <v>0</v>
      </c>
      <c r="V78" s="77">
        <f>'Restating Adj'!V78+'Pro Forma Adj'!V78</f>
        <v>-52188</v>
      </c>
      <c r="W78" s="77">
        <f>'Restating Adj'!W78+'Pro Forma Adj'!W78</f>
        <v>0</v>
      </c>
      <c r="X78" s="78">
        <f>'Restating Adj'!X78+'Pro Forma Adj'!X78</f>
        <v>737.58465057384717</v>
      </c>
      <c r="Y78" s="87">
        <f>'Restating Adj'!Y78+'Pro Forma Adj'!Y78</f>
        <v>0</v>
      </c>
      <c r="Z78" s="29">
        <f>'Restating Adj'!Z78+'Pro Forma Adj'!Z78</f>
        <v>0</v>
      </c>
      <c r="AA78" s="77">
        <f>'Restating Adj'!AA78+'Pro Forma Adj'!AA78</f>
        <v>0</v>
      </c>
      <c r="AB78" s="77">
        <f>'Restating Adj'!AB78+'Pro Forma Adj'!AB78</f>
        <v>75779202.472963661</v>
      </c>
      <c r="AC78" s="78">
        <f>'Restating Adj'!AC78+'Pro Forma Adj'!AC78</f>
        <v>6974446.9550999776</v>
      </c>
      <c r="AD78" s="29">
        <f>'Restating Adj'!AD78+'Pro Forma Adj'!AD78</f>
        <v>0</v>
      </c>
      <c r="AE78" s="78">
        <f>'Restating Adj'!AE78+'Pro Forma Adj'!AE78</f>
        <v>0</v>
      </c>
      <c r="AF78" s="29">
        <f>'Restating Adj'!AF78+'Pro Forma Adj'!AF78</f>
        <v>0</v>
      </c>
      <c r="AG78" s="77">
        <f>'Restating Adj'!AG78+'Pro Forma Adj'!AG78</f>
        <v>0</v>
      </c>
      <c r="AH78" s="77">
        <f>'Restating Adj'!AH78+'Pro Forma Adj'!AH78</f>
        <v>50236.203922662367</v>
      </c>
      <c r="AI78" s="77">
        <f>'Restating Adj'!AI78+'Pro Forma Adj'!AI78</f>
        <v>0</v>
      </c>
      <c r="AJ78" s="77">
        <f>'Restating Adj'!AJ78+'Pro Forma Adj'!AJ78</f>
        <v>0</v>
      </c>
      <c r="AK78" s="78">
        <f>'Restating Adj'!AK78+'Pro Forma Adj'!AK78</f>
        <v>0</v>
      </c>
      <c r="AL78" s="29">
        <f>'Restating Adj'!AL78+'Pro Forma Adj'!AL78</f>
        <v>0</v>
      </c>
      <c r="AM78" s="77">
        <f>'Restating Adj'!AM78+'Pro Forma Adj'!AM78</f>
        <v>0</v>
      </c>
      <c r="AN78" s="77">
        <f>'Restating Adj'!AN78+'Pro Forma Adj'!AN78</f>
        <v>0</v>
      </c>
      <c r="AO78" s="78">
        <f>'Restating Adj'!AO78+'Pro Forma Adj'!AO78</f>
        <v>-16219077.86030608</v>
      </c>
      <c r="AP78" s="29">
        <f>'Restating Adj'!AP78+'Pro Forma Adj'!AP78</f>
        <v>0</v>
      </c>
      <c r="AQ78" s="78">
        <f>'Restating Adj'!AQ78+'Pro Forma Adj'!AQ78</f>
        <v>5479581.1735639377</v>
      </c>
      <c r="AR78" s="29">
        <f>'Restating Adj'!AR78+'Pro Forma Adj'!AR78</f>
        <v>0</v>
      </c>
      <c r="AS78" s="77">
        <f>'Restating Adj'!AS78+'Pro Forma Adj'!AS78</f>
        <v>-2451890.918377257</v>
      </c>
      <c r="AT78" s="77">
        <f>'Restating Adj'!AT78+'Pro Forma Adj'!AT78</f>
        <v>0</v>
      </c>
      <c r="AU78" s="77">
        <f>'Restating Adj'!AU78+'Pro Forma Adj'!AU78</f>
        <v>0</v>
      </c>
      <c r="AV78" s="77">
        <f>'Restating Adj'!AV78+'Pro Forma Adj'!AV78</f>
        <v>0</v>
      </c>
      <c r="AW78" s="78">
        <f>'Restating Adj'!AW78+'Pro Forma Adj'!AW78</f>
        <v>0</v>
      </c>
      <c r="AX78" s="29">
        <f>'Restating Adj'!AX78+'Pro Forma Adj'!AX78</f>
        <v>0</v>
      </c>
      <c r="AY78" s="77">
        <f>'Restating Adj'!AY78+'Pro Forma Adj'!AY78</f>
        <v>0</v>
      </c>
      <c r="AZ78" s="77">
        <f>'Restating Adj'!AZ78+'Pro Forma Adj'!AZ78</f>
        <v>0</v>
      </c>
      <c r="BA78" s="77">
        <f>'Restating Adj'!BA78+'Pro Forma Adj'!BA78</f>
        <v>114467.90373025351</v>
      </c>
      <c r="BB78" s="77">
        <f>'Restating Adj'!BB78+'Pro Forma Adj'!BB78</f>
        <v>235794.11311748478</v>
      </c>
      <c r="BC78" s="78">
        <f>'Restating Adj'!BC78+'Pro Forma Adj'!BC78</f>
        <v>13017145.643060798</v>
      </c>
      <c r="BD78" s="29">
        <f>'Restating Adj'!BD78+'Pro Forma Adj'!BD78</f>
        <v>66498.828544574106</v>
      </c>
      <c r="BE78" s="77">
        <f>'Restating Adj'!BE78+'Pro Forma Adj'!BE78</f>
        <v>1324840.3183561338</v>
      </c>
      <c r="BF78" s="77">
        <f>'Restating Adj'!BF78+'Pro Forma Adj'!BF78</f>
        <v>-169265.31047110166</v>
      </c>
      <c r="BG78" s="78">
        <f>'Restating Adj'!BG78+'Pro Forma Adj'!BG78</f>
        <v>0</v>
      </c>
    </row>
    <row r="79" spans="1:59" x14ac:dyDescent="0.2">
      <c r="A79" s="14" t="s">
        <v>103</v>
      </c>
      <c r="B79" s="36">
        <f t="shared" si="93"/>
        <v>53530381.722662918</v>
      </c>
      <c r="C79" s="94">
        <f>'Restating Adj'!C79+'Pro Forma Adj'!C79</f>
        <v>0</v>
      </c>
      <c r="D79" s="85">
        <f>'Restating Adj'!D79+'Pro Forma Adj'!D79</f>
        <v>0</v>
      </c>
      <c r="E79" s="85">
        <f>'Restating Adj'!E79+'Pro Forma Adj'!E79</f>
        <v>0</v>
      </c>
      <c r="F79" s="95">
        <f>'Restating Adj'!F79+'Pro Forma Adj'!F79</f>
        <v>0</v>
      </c>
      <c r="G79" s="277">
        <f>'Restating Adj'!G79+'Pro Forma Adj'!G79</f>
        <v>0</v>
      </c>
      <c r="H79" s="94">
        <f>'Restating Adj'!H79+'Pro Forma Adj'!H79</f>
        <v>0</v>
      </c>
      <c r="I79" s="85">
        <f>'Restating Adj'!I79+'Pro Forma Adj'!I79</f>
        <v>0</v>
      </c>
      <c r="J79" s="85">
        <f>'Restating Adj'!J79+'Pro Forma Adj'!J79</f>
        <v>0</v>
      </c>
      <c r="K79" s="85">
        <f>'Restating Adj'!K79+'Pro Forma Adj'!K79</f>
        <v>0</v>
      </c>
      <c r="L79" s="85">
        <f>'Restating Adj'!L79+'Pro Forma Adj'!L79</f>
        <v>0</v>
      </c>
      <c r="M79" s="95">
        <f>'Restating Adj'!M79+'Pro Forma Adj'!M79</f>
        <v>0</v>
      </c>
      <c r="N79" s="94">
        <f>'Restating Adj'!N79+'Pro Forma Adj'!N79</f>
        <v>0</v>
      </c>
      <c r="O79" s="85">
        <f>'Restating Adj'!O79+'Pro Forma Adj'!O79</f>
        <v>0</v>
      </c>
      <c r="P79" s="85">
        <f>'Restating Adj'!P79+'Pro Forma Adj'!P79</f>
        <v>0</v>
      </c>
      <c r="Q79" s="85">
        <f>'Restating Adj'!Q79+'Pro Forma Adj'!Q79</f>
        <v>-125695.50214021644</v>
      </c>
      <c r="R79" s="85">
        <f>'Restating Adj'!R79+'Pro Forma Adj'!R79</f>
        <v>0</v>
      </c>
      <c r="S79" s="95">
        <f>'Restating Adj'!S79+'Pro Forma Adj'!S79</f>
        <v>0</v>
      </c>
      <c r="T79" s="94">
        <f>'Restating Adj'!T79+'Pro Forma Adj'!T79</f>
        <v>0</v>
      </c>
      <c r="U79" s="85">
        <f>'Restating Adj'!U79+'Pro Forma Adj'!U79</f>
        <v>0</v>
      </c>
      <c r="V79" s="85">
        <f>'Restating Adj'!V79+'Pro Forma Adj'!V79</f>
        <v>259147.04859040832</v>
      </c>
      <c r="W79" s="85">
        <f>'Restating Adj'!W79+'Pro Forma Adj'!W79</f>
        <v>0</v>
      </c>
      <c r="X79" s="95">
        <f>'Restating Adj'!X79+'Pro Forma Adj'!X79</f>
        <v>104137.64039409981</v>
      </c>
      <c r="Y79" s="277">
        <f>'Restating Adj'!Y79+'Pro Forma Adj'!Y79</f>
        <v>0</v>
      </c>
      <c r="Z79" s="94">
        <f>'Restating Adj'!Z79+'Pro Forma Adj'!Z79</f>
        <v>0</v>
      </c>
      <c r="AA79" s="85">
        <f>'Restating Adj'!AA79+'Pro Forma Adj'!AA79</f>
        <v>0</v>
      </c>
      <c r="AB79" s="85">
        <f>'Restating Adj'!AB79+'Pro Forma Adj'!AB79</f>
        <v>0</v>
      </c>
      <c r="AC79" s="95">
        <f>'Restating Adj'!AC79+'Pro Forma Adj'!AC79</f>
        <v>0</v>
      </c>
      <c r="AD79" s="94">
        <f>'Restating Adj'!AD79+'Pro Forma Adj'!AD79</f>
        <v>0</v>
      </c>
      <c r="AE79" s="95">
        <f>'Restating Adj'!AE79+'Pro Forma Adj'!AE79</f>
        <v>0</v>
      </c>
      <c r="AF79" s="94">
        <f>'Restating Adj'!AF79+'Pro Forma Adj'!AF79</f>
        <v>0</v>
      </c>
      <c r="AG79" s="85">
        <f>'Restating Adj'!AG79+'Pro Forma Adj'!AG79</f>
        <v>0</v>
      </c>
      <c r="AH79" s="85">
        <f>'Restating Adj'!AH79+'Pro Forma Adj'!AH79</f>
        <v>599115.28336767084</v>
      </c>
      <c r="AI79" s="85">
        <f>'Restating Adj'!AI79+'Pro Forma Adj'!AI79</f>
        <v>0</v>
      </c>
      <c r="AJ79" s="85">
        <f>'Restating Adj'!AJ79+'Pro Forma Adj'!AJ79</f>
        <v>0</v>
      </c>
      <c r="AK79" s="95">
        <f>'Restating Adj'!AK79+'Pro Forma Adj'!AK79</f>
        <v>0</v>
      </c>
      <c r="AL79" s="94">
        <f>'Restating Adj'!AL79+'Pro Forma Adj'!AL79</f>
        <v>0</v>
      </c>
      <c r="AM79" s="85">
        <f>'Restating Adj'!AM79+'Pro Forma Adj'!AM79</f>
        <v>0</v>
      </c>
      <c r="AN79" s="85">
        <f>'Restating Adj'!AN79+'Pro Forma Adj'!AN79</f>
        <v>0</v>
      </c>
      <c r="AO79" s="95">
        <f>'Restating Adj'!AO79+'Pro Forma Adj'!AO79</f>
        <v>17920124.609870076</v>
      </c>
      <c r="AP79" s="94">
        <f>'Restating Adj'!AP79+'Pro Forma Adj'!AP79</f>
        <v>0</v>
      </c>
      <c r="AQ79" s="95">
        <f>'Restating Adj'!AQ79+'Pro Forma Adj'!AQ79</f>
        <v>0</v>
      </c>
      <c r="AR79" s="94">
        <f>'Restating Adj'!AR79+'Pro Forma Adj'!AR79</f>
        <v>0</v>
      </c>
      <c r="AS79" s="85">
        <f>'Restating Adj'!AS79+'Pro Forma Adj'!AS79</f>
        <v>4030075.1798258587</v>
      </c>
      <c r="AT79" s="85">
        <f>'Restating Adj'!AT79+'Pro Forma Adj'!AT79</f>
        <v>0</v>
      </c>
      <c r="AU79" s="85">
        <f>'Restating Adj'!AU79+'Pro Forma Adj'!AU79</f>
        <v>208716</v>
      </c>
      <c r="AV79" s="85">
        <f>'Restating Adj'!AV79+'Pro Forma Adj'!AV79</f>
        <v>0</v>
      </c>
      <c r="AW79" s="95">
        <f>'Restating Adj'!AW79+'Pro Forma Adj'!AW79</f>
        <v>0</v>
      </c>
      <c r="AX79" s="94">
        <f>'Restating Adj'!AX79+'Pro Forma Adj'!AX79</f>
        <v>0</v>
      </c>
      <c r="AY79" s="85">
        <f>'Restating Adj'!AY79+'Pro Forma Adj'!AY79</f>
        <v>0</v>
      </c>
      <c r="AZ79" s="85">
        <f>'Restating Adj'!AZ79+'Pro Forma Adj'!AZ79</f>
        <v>0</v>
      </c>
      <c r="BA79" s="85">
        <f>'Restating Adj'!BA79+'Pro Forma Adj'!BA79</f>
        <v>3247671.0408995287</v>
      </c>
      <c r="BB79" s="85">
        <f>'Restating Adj'!BB79+'Pro Forma Adj'!BB79</f>
        <v>27932611.43300163</v>
      </c>
      <c r="BC79" s="95">
        <f>'Restating Adj'!BC79+'Pro Forma Adj'!BC79</f>
        <v>0</v>
      </c>
      <c r="BD79" s="94">
        <f>'Restating Adj'!BD79+'Pro Forma Adj'!BD79</f>
        <v>-682791.68715219037</v>
      </c>
      <c r="BE79" s="85">
        <f>'Restating Adj'!BE79+'Pro Forma Adj'!BE79</f>
        <v>-34891.990770717355</v>
      </c>
      <c r="BF79" s="85">
        <f>'Restating Adj'!BF79+'Pro Forma Adj'!BF79</f>
        <v>72162.666776776779</v>
      </c>
      <c r="BG79" s="95">
        <f>'Restating Adj'!BG79+'Pro Forma Adj'!BG79</f>
        <v>0</v>
      </c>
    </row>
    <row r="80" spans="1:59" x14ac:dyDescent="0.2">
      <c r="A80" s="14" t="s">
        <v>104</v>
      </c>
      <c r="B80" s="271">
        <f t="shared" si="93"/>
        <v>-9516146.8627757523</v>
      </c>
      <c r="C80" s="161">
        <f t="shared" ref="C80" si="104">C74-C76-C77+C78-C79</f>
        <v>-6463994.9400000004</v>
      </c>
      <c r="D80" s="13">
        <f t="shared" ref="D80:AS80" si="105">D74-D76-D77+D78-D79</f>
        <v>29321396.810773376</v>
      </c>
      <c r="E80" s="13">
        <f t="shared" si="105"/>
        <v>62032.559575037958</v>
      </c>
      <c r="F80" s="162">
        <f t="shared" si="105"/>
        <v>456610.92888002045</v>
      </c>
      <c r="G80" s="278">
        <f t="shared" si="105"/>
        <v>211020.52384552389</v>
      </c>
      <c r="H80" s="161">
        <f t="shared" si="105"/>
        <v>-177949.93579636046</v>
      </c>
      <c r="I80" s="13">
        <f t="shared" si="105"/>
        <v>-1272028.0928324289</v>
      </c>
      <c r="J80" s="13">
        <f t="shared" si="105"/>
        <v>545970.89967067912</v>
      </c>
      <c r="K80" s="13">
        <f t="shared" si="105"/>
        <v>13000.76973625276</v>
      </c>
      <c r="L80" s="13">
        <f t="shared" si="105"/>
        <v>-15875.448713248625</v>
      </c>
      <c r="M80" s="162">
        <f t="shared" si="105"/>
        <v>-62258.880074109882</v>
      </c>
      <c r="N80" s="161">
        <f t="shared" si="105"/>
        <v>-38937.904917300068</v>
      </c>
      <c r="O80" s="13">
        <f t="shared" si="105"/>
        <v>-1305645.921588074</v>
      </c>
      <c r="P80" s="13">
        <f t="shared" si="105"/>
        <v>-252203.73</v>
      </c>
      <c r="Q80" s="13">
        <f t="shared" si="105"/>
        <v>-446412.07116395386</v>
      </c>
      <c r="R80" s="13">
        <f t="shared" si="105"/>
        <v>-101625.68393873476</v>
      </c>
      <c r="S80" s="162">
        <f t="shared" si="105"/>
        <v>-147521.18755746336</v>
      </c>
      <c r="T80" s="161">
        <f t="shared" ref="T80:U80" si="106">T74-T76-T77+T78-T79</f>
        <v>5675631.15033664</v>
      </c>
      <c r="U80" s="13">
        <f t="shared" si="106"/>
        <v>3268009.2120065186</v>
      </c>
      <c r="V80" s="13">
        <f t="shared" ref="V80:W80" si="107">V74-V76-V77+V78-V79</f>
        <v>259185.82373559949</v>
      </c>
      <c r="W80" s="13">
        <f t="shared" si="107"/>
        <v>-160000</v>
      </c>
      <c r="X80" s="162">
        <f t="shared" ref="X80" si="108">X74-X76-X77+X78-X79</f>
        <v>-143193.16109395723</v>
      </c>
      <c r="Y80" s="278">
        <f t="shared" si="105"/>
        <v>2451890.9183772579</v>
      </c>
      <c r="Z80" s="161">
        <f t="shared" si="105"/>
        <v>0</v>
      </c>
      <c r="AA80" s="13">
        <f t="shared" si="105"/>
        <v>0</v>
      </c>
      <c r="AB80" s="13">
        <f t="shared" si="105"/>
        <v>0</v>
      </c>
      <c r="AC80" s="162">
        <f t="shared" ref="AC80" si="109">AC74-AC76-AC77+AC78-AC79</f>
        <v>4299342.4922575969</v>
      </c>
      <c r="AD80" s="161">
        <f t="shared" si="105"/>
        <v>-1670854.9220341332</v>
      </c>
      <c r="AE80" s="162">
        <f t="shared" si="105"/>
        <v>-2141949</v>
      </c>
      <c r="AF80" s="161">
        <f t="shared" si="105"/>
        <v>0</v>
      </c>
      <c r="AG80" s="13">
        <f t="shared" si="105"/>
        <v>0</v>
      </c>
      <c r="AH80" s="13">
        <f t="shared" si="105"/>
        <v>-548879.07944500842</v>
      </c>
      <c r="AI80" s="13">
        <f t="shared" si="105"/>
        <v>0</v>
      </c>
      <c r="AJ80" s="13">
        <f t="shared" si="105"/>
        <v>250376</v>
      </c>
      <c r="AK80" s="162">
        <f t="shared" si="105"/>
        <v>4620.2408263712532</v>
      </c>
      <c r="AL80" s="161">
        <f t="shared" si="105"/>
        <v>3308</v>
      </c>
      <c r="AM80" s="13">
        <f t="shared" ref="AM80:AO80" si="110">AM74-AM76-AM77+AM78-AM79</f>
        <v>-180412.60365467297</v>
      </c>
      <c r="AN80" s="13">
        <f t="shared" si="110"/>
        <v>0</v>
      </c>
      <c r="AO80" s="162">
        <f t="shared" si="110"/>
        <v>-34139202.47017616</v>
      </c>
      <c r="AP80" s="161">
        <f t="shared" si="105"/>
        <v>0</v>
      </c>
      <c r="AQ80" s="162">
        <f t="shared" si="105"/>
        <v>22272450.740000028</v>
      </c>
      <c r="AR80" s="161">
        <f t="shared" si="105"/>
        <v>0</v>
      </c>
      <c r="AS80" s="13">
        <f t="shared" si="105"/>
        <v>-6481966.0982031152</v>
      </c>
      <c r="AT80" s="13">
        <f t="shared" ref="AT80:BB80" si="111">AT74-AT76-AT77+AT78-AT79</f>
        <v>0</v>
      </c>
      <c r="AU80" s="13">
        <f t="shared" si="111"/>
        <v>0</v>
      </c>
      <c r="AV80" s="13">
        <f t="shared" si="111"/>
        <v>-60419.600000000006</v>
      </c>
      <c r="AW80" s="162">
        <f t="shared" si="111"/>
        <v>0</v>
      </c>
      <c r="AX80" s="161">
        <f t="shared" si="111"/>
        <v>0</v>
      </c>
      <c r="AY80" s="13">
        <f t="shared" si="111"/>
        <v>0</v>
      </c>
      <c r="AZ80" s="13">
        <f t="shared" si="111"/>
        <v>0</v>
      </c>
      <c r="BA80" s="13">
        <f t="shared" si="111"/>
        <v>-2727320.8230915512</v>
      </c>
      <c r="BB80" s="13">
        <f t="shared" si="111"/>
        <v>-29489921.829844322</v>
      </c>
      <c r="BC80" s="162">
        <f t="shared" ref="BC80" si="112">BC74-BC76-BC77+BC78-BC79</f>
        <v>0</v>
      </c>
      <c r="BD80" s="161">
        <f t="shared" ref="BD80:BG80" si="113">BD74-BD76-BD77+BD78-BD79</f>
        <v>3054375.0424429644</v>
      </c>
      <c r="BE80" s="13">
        <f t="shared" si="113"/>
        <v>6525410.0106512597</v>
      </c>
      <c r="BF80" s="13">
        <f t="shared" si="113"/>
        <v>-392771.25570414984</v>
      </c>
      <c r="BG80" s="162">
        <f t="shared" si="113"/>
        <v>230565.65393785876</v>
      </c>
    </row>
    <row r="81" spans="1:59" x14ac:dyDescent="0.2">
      <c r="A81" s="14"/>
      <c r="B81" s="28"/>
      <c r="C81" s="28"/>
      <c r="D81" s="12"/>
      <c r="E81" s="12"/>
      <c r="F81" s="75"/>
      <c r="G81" s="76"/>
      <c r="H81" s="28"/>
      <c r="I81" s="12"/>
      <c r="J81" s="12"/>
      <c r="K81" s="12"/>
      <c r="L81" s="12"/>
      <c r="M81" s="75"/>
      <c r="N81" s="28"/>
      <c r="O81" s="12"/>
      <c r="P81" s="12"/>
      <c r="Q81" s="12"/>
      <c r="R81" s="12"/>
      <c r="S81" s="75"/>
      <c r="T81" s="28"/>
      <c r="U81" s="12"/>
      <c r="V81" s="12"/>
      <c r="W81" s="12"/>
      <c r="X81" s="75"/>
      <c r="Y81" s="76"/>
      <c r="Z81" s="28"/>
      <c r="AA81" s="12"/>
      <c r="AB81" s="12"/>
      <c r="AC81" s="75"/>
      <c r="AD81" s="28"/>
      <c r="AE81" s="75"/>
      <c r="AF81" s="28"/>
      <c r="AG81" s="12"/>
      <c r="AH81" s="12"/>
      <c r="AI81" s="12"/>
      <c r="AJ81" s="12"/>
      <c r="AK81" s="75"/>
      <c r="AL81" s="28"/>
      <c r="AM81" s="12"/>
      <c r="AN81" s="12"/>
      <c r="AO81" s="75"/>
      <c r="AP81" s="28"/>
      <c r="AQ81" s="75"/>
      <c r="AR81" s="28"/>
      <c r="AS81" s="12"/>
      <c r="AT81" s="12"/>
      <c r="AU81" s="12"/>
      <c r="AV81" s="12"/>
      <c r="AW81" s="75"/>
      <c r="AX81" s="28"/>
      <c r="AY81" s="12"/>
      <c r="AZ81" s="12"/>
      <c r="BA81" s="12"/>
      <c r="BB81" s="12"/>
      <c r="BC81" s="75"/>
      <c r="BD81" s="28"/>
      <c r="BE81" s="12"/>
      <c r="BF81" s="12"/>
      <c r="BG81" s="75"/>
    </row>
    <row r="82" spans="1:59" x14ac:dyDescent="0.2">
      <c r="A82" s="14" t="s">
        <v>105</v>
      </c>
      <c r="B82" s="37">
        <f t="shared" ref="B82:B83" si="114">SUM(C82:BG82)</f>
        <v>0</v>
      </c>
      <c r="C82" s="28">
        <v>0</v>
      </c>
      <c r="D82" s="12">
        <v>0</v>
      </c>
      <c r="E82" s="12">
        <v>0</v>
      </c>
      <c r="F82" s="75">
        <v>0</v>
      </c>
      <c r="G82" s="76">
        <v>0</v>
      </c>
      <c r="H82" s="28">
        <v>0</v>
      </c>
      <c r="I82" s="12">
        <v>0</v>
      </c>
      <c r="J82" s="12">
        <v>0</v>
      </c>
      <c r="K82" s="12">
        <v>0</v>
      </c>
      <c r="L82" s="12">
        <v>0</v>
      </c>
      <c r="M82" s="75">
        <v>0</v>
      </c>
      <c r="N82" s="28">
        <v>0</v>
      </c>
      <c r="O82" s="12">
        <v>0</v>
      </c>
      <c r="P82" s="12">
        <v>0</v>
      </c>
      <c r="Q82" s="12">
        <v>0</v>
      </c>
      <c r="R82" s="12">
        <v>0</v>
      </c>
      <c r="S82" s="75">
        <v>0</v>
      </c>
      <c r="T82" s="28">
        <v>0</v>
      </c>
      <c r="U82" s="12">
        <v>0</v>
      </c>
      <c r="V82" s="12">
        <v>0</v>
      </c>
      <c r="W82" s="12">
        <v>0</v>
      </c>
      <c r="X82" s="75">
        <v>0</v>
      </c>
      <c r="Y82" s="76">
        <v>0</v>
      </c>
      <c r="Z82" s="28">
        <v>0</v>
      </c>
      <c r="AA82" s="12">
        <v>0</v>
      </c>
      <c r="AB82" s="12">
        <v>0</v>
      </c>
      <c r="AC82" s="75">
        <v>0</v>
      </c>
      <c r="AD82" s="28">
        <v>0</v>
      </c>
      <c r="AE82" s="75">
        <v>0</v>
      </c>
      <c r="AF82" s="28">
        <v>0</v>
      </c>
      <c r="AG82" s="12">
        <v>0</v>
      </c>
      <c r="AH82" s="12">
        <v>0</v>
      </c>
      <c r="AI82" s="12">
        <v>0</v>
      </c>
      <c r="AJ82" s="12">
        <v>0</v>
      </c>
      <c r="AK82" s="75">
        <v>0</v>
      </c>
      <c r="AL82" s="28">
        <v>0</v>
      </c>
      <c r="AM82" s="12">
        <v>0</v>
      </c>
      <c r="AN82" s="12">
        <v>0</v>
      </c>
      <c r="AO82" s="75">
        <v>0</v>
      </c>
      <c r="AP82" s="28">
        <v>0</v>
      </c>
      <c r="AQ82" s="75">
        <v>0</v>
      </c>
      <c r="AR82" s="28">
        <v>0</v>
      </c>
      <c r="AS82" s="12">
        <v>0</v>
      </c>
      <c r="AT82" s="12">
        <v>0</v>
      </c>
      <c r="AU82" s="12">
        <v>0</v>
      </c>
      <c r="AV82" s="12">
        <v>0</v>
      </c>
      <c r="AW82" s="75">
        <v>0</v>
      </c>
      <c r="AX82" s="28">
        <v>0</v>
      </c>
      <c r="AY82" s="12">
        <v>0</v>
      </c>
      <c r="AZ82" s="12">
        <v>0</v>
      </c>
      <c r="BA82" s="12">
        <v>0</v>
      </c>
      <c r="BB82" s="12">
        <v>0</v>
      </c>
      <c r="BC82" s="75">
        <v>0</v>
      </c>
      <c r="BD82" s="28">
        <v>0</v>
      </c>
      <c r="BE82" s="12">
        <v>0</v>
      </c>
      <c r="BF82" s="12">
        <v>0</v>
      </c>
      <c r="BG82" s="75">
        <v>0</v>
      </c>
    </row>
    <row r="83" spans="1:59" x14ac:dyDescent="0.2">
      <c r="A83" s="14" t="s">
        <v>106</v>
      </c>
      <c r="B83" s="37">
        <f t="shared" si="114"/>
        <v>-9516146.8627757523</v>
      </c>
      <c r="C83" s="28">
        <f>C80-C82</f>
        <v>-6463994.9400000004</v>
      </c>
      <c r="D83" s="12">
        <f t="shared" ref="D83:AS83" si="115">D80-D82</f>
        <v>29321396.810773376</v>
      </c>
      <c r="E83" s="12">
        <f t="shared" si="115"/>
        <v>62032.559575037958</v>
      </c>
      <c r="F83" s="75">
        <f t="shared" si="115"/>
        <v>456610.92888002045</v>
      </c>
      <c r="G83" s="76">
        <f t="shared" si="115"/>
        <v>211020.52384552389</v>
      </c>
      <c r="H83" s="28">
        <f t="shared" si="115"/>
        <v>-177949.93579636046</v>
      </c>
      <c r="I83" s="12">
        <f t="shared" si="115"/>
        <v>-1272028.0928324289</v>
      </c>
      <c r="J83" s="12">
        <f t="shared" si="115"/>
        <v>545970.89967067912</v>
      </c>
      <c r="K83" s="12">
        <f t="shared" si="115"/>
        <v>13000.76973625276</v>
      </c>
      <c r="L83" s="12">
        <f t="shared" si="115"/>
        <v>-15875.448713248625</v>
      </c>
      <c r="M83" s="75">
        <f t="shared" si="115"/>
        <v>-62258.880074109882</v>
      </c>
      <c r="N83" s="28">
        <f t="shared" si="115"/>
        <v>-38937.904917300068</v>
      </c>
      <c r="O83" s="12">
        <f t="shared" si="115"/>
        <v>-1305645.921588074</v>
      </c>
      <c r="P83" s="12">
        <f t="shared" si="115"/>
        <v>-252203.73</v>
      </c>
      <c r="Q83" s="12">
        <f t="shared" si="115"/>
        <v>-446412.07116395386</v>
      </c>
      <c r="R83" s="12">
        <f t="shared" si="115"/>
        <v>-101625.68393873476</v>
      </c>
      <c r="S83" s="75">
        <f t="shared" si="115"/>
        <v>-147521.18755746336</v>
      </c>
      <c r="T83" s="28">
        <f t="shared" ref="T83:U83" si="116">T80-T82</f>
        <v>5675631.15033664</v>
      </c>
      <c r="U83" s="12">
        <f t="shared" si="116"/>
        <v>3268009.2120065186</v>
      </c>
      <c r="V83" s="12">
        <f t="shared" ref="V83:W83" si="117">V80-V82</f>
        <v>259185.82373559949</v>
      </c>
      <c r="W83" s="12">
        <f t="shared" si="117"/>
        <v>-160000</v>
      </c>
      <c r="X83" s="75">
        <f t="shared" ref="X83" si="118">X80-X82</f>
        <v>-143193.16109395723</v>
      </c>
      <c r="Y83" s="76">
        <f t="shared" si="115"/>
        <v>2451890.9183772579</v>
      </c>
      <c r="Z83" s="28">
        <f t="shared" si="115"/>
        <v>0</v>
      </c>
      <c r="AA83" s="12">
        <f t="shared" si="115"/>
        <v>0</v>
      </c>
      <c r="AB83" s="12">
        <f t="shared" si="115"/>
        <v>0</v>
      </c>
      <c r="AC83" s="75">
        <f t="shared" ref="AC83" si="119">AC80-AC82</f>
        <v>4299342.4922575969</v>
      </c>
      <c r="AD83" s="28">
        <f t="shared" si="115"/>
        <v>-1670854.9220341332</v>
      </c>
      <c r="AE83" s="75">
        <f t="shared" si="115"/>
        <v>-2141949</v>
      </c>
      <c r="AF83" s="28">
        <f t="shared" si="115"/>
        <v>0</v>
      </c>
      <c r="AG83" s="12">
        <f t="shared" si="115"/>
        <v>0</v>
      </c>
      <c r="AH83" s="12">
        <f t="shared" si="115"/>
        <v>-548879.07944500842</v>
      </c>
      <c r="AI83" s="12">
        <f t="shared" si="115"/>
        <v>0</v>
      </c>
      <c r="AJ83" s="12">
        <f t="shared" si="115"/>
        <v>250376</v>
      </c>
      <c r="AK83" s="75">
        <f t="shared" si="115"/>
        <v>4620.2408263712532</v>
      </c>
      <c r="AL83" s="28">
        <f t="shared" si="115"/>
        <v>3308</v>
      </c>
      <c r="AM83" s="12">
        <f t="shared" ref="AM83:AO83" si="120">AM80-AM82</f>
        <v>-180412.60365467297</v>
      </c>
      <c r="AN83" s="12">
        <f t="shared" si="120"/>
        <v>0</v>
      </c>
      <c r="AO83" s="75">
        <f t="shared" si="120"/>
        <v>-34139202.47017616</v>
      </c>
      <c r="AP83" s="28">
        <f t="shared" si="115"/>
        <v>0</v>
      </c>
      <c r="AQ83" s="75">
        <f t="shared" si="115"/>
        <v>22272450.740000028</v>
      </c>
      <c r="AR83" s="28">
        <f t="shared" si="115"/>
        <v>0</v>
      </c>
      <c r="AS83" s="12">
        <f t="shared" si="115"/>
        <v>-6481966.0982031152</v>
      </c>
      <c r="AT83" s="12">
        <f t="shared" ref="AT83:BB83" si="121">AT80-AT82</f>
        <v>0</v>
      </c>
      <c r="AU83" s="12">
        <f t="shared" si="121"/>
        <v>0</v>
      </c>
      <c r="AV83" s="12">
        <f t="shared" si="121"/>
        <v>-60419.600000000006</v>
      </c>
      <c r="AW83" s="75">
        <f t="shared" si="121"/>
        <v>0</v>
      </c>
      <c r="AX83" s="28">
        <f t="shared" si="121"/>
        <v>0</v>
      </c>
      <c r="AY83" s="12">
        <f t="shared" si="121"/>
        <v>0</v>
      </c>
      <c r="AZ83" s="12">
        <f t="shared" si="121"/>
        <v>0</v>
      </c>
      <c r="BA83" s="12">
        <f t="shared" si="121"/>
        <v>-2727320.8230915512</v>
      </c>
      <c r="BB83" s="12">
        <f t="shared" si="121"/>
        <v>-29489921.829844322</v>
      </c>
      <c r="BC83" s="75">
        <f t="shared" ref="BC83" si="122">BC80-BC82</f>
        <v>0</v>
      </c>
      <c r="BD83" s="28">
        <f t="shared" ref="BD83:BG83" si="123">BD80-BD82</f>
        <v>3054375.0424429644</v>
      </c>
      <c r="BE83" s="12">
        <f t="shared" si="123"/>
        <v>6525410.0106512597</v>
      </c>
      <c r="BF83" s="12">
        <f t="shared" si="123"/>
        <v>-392771.25570414984</v>
      </c>
      <c r="BG83" s="75">
        <f t="shared" si="123"/>
        <v>230565.65393785876</v>
      </c>
    </row>
    <row r="84" spans="1:59" x14ac:dyDescent="0.2">
      <c r="A84" s="14"/>
      <c r="B84" s="37">
        <f t="shared" ref="B84" si="124">SUM(C84:BB84)</f>
        <v>0</v>
      </c>
      <c r="C84" s="28"/>
      <c r="D84" s="12"/>
      <c r="E84" s="12"/>
      <c r="F84" s="75"/>
      <c r="G84" s="76"/>
      <c r="H84" s="28"/>
      <c r="I84" s="12"/>
      <c r="J84" s="12"/>
      <c r="K84" s="12"/>
      <c r="L84" s="12"/>
      <c r="M84" s="75"/>
      <c r="N84" s="28"/>
      <c r="O84" s="12"/>
      <c r="P84" s="12"/>
      <c r="Q84" s="12"/>
      <c r="R84" s="12"/>
      <c r="S84" s="75"/>
      <c r="T84" s="28"/>
      <c r="U84" s="12"/>
      <c r="V84" s="12"/>
      <c r="W84" s="12"/>
      <c r="X84" s="75"/>
      <c r="Y84" s="76"/>
      <c r="Z84" s="28"/>
      <c r="AA84" s="12"/>
      <c r="AB84" s="12"/>
      <c r="AC84" s="75"/>
      <c r="AD84" s="28"/>
      <c r="AE84" s="75"/>
      <c r="AF84" s="28"/>
      <c r="AG84" s="12"/>
      <c r="AH84" s="12"/>
      <c r="AI84" s="12"/>
      <c r="AJ84" s="12"/>
      <c r="AK84" s="75"/>
      <c r="AL84" s="28"/>
      <c r="AM84" s="12"/>
      <c r="AN84" s="12"/>
      <c r="AO84" s="75"/>
      <c r="AP84" s="28"/>
      <c r="AQ84" s="75"/>
      <c r="AR84" s="28"/>
      <c r="AS84" s="12"/>
      <c r="AT84" s="12"/>
      <c r="AU84" s="12"/>
      <c r="AV84" s="12"/>
      <c r="AW84" s="75"/>
      <c r="AX84" s="28"/>
      <c r="AY84" s="12"/>
      <c r="AZ84" s="12"/>
      <c r="BA84" s="12"/>
      <c r="BB84" s="12"/>
      <c r="BC84" s="75"/>
      <c r="BD84" s="28"/>
      <c r="BE84" s="12"/>
      <c r="BF84" s="12"/>
      <c r="BG84" s="75"/>
    </row>
    <row r="85" spans="1:59" x14ac:dyDescent="0.2">
      <c r="A85" s="14" t="s">
        <v>131</v>
      </c>
      <c r="B85" s="37">
        <f t="shared" ref="B85:B87" si="125">SUM(C85:BG85)</f>
        <v>-1998390.8411829076</v>
      </c>
      <c r="C85" s="28">
        <f>C83*0.21</f>
        <v>-1357438.9373999999</v>
      </c>
      <c r="D85" s="12">
        <f t="shared" ref="D85:BB85" si="126">D83*0.21</f>
        <v>6157493.3302624086</v>
      </c>
      <c r="E85" s="12">
        <f t="shared" si="126"/>
        <v>13026.83751075797</v>
      </c>
      <c r="F85" s="75">
        <f t="shared" si="126"/>
        <v>95888.29506480429</v>
      </c>
      <c r="G85" s="76">
        <f t="shared" si="126"/>
        <v>44314.310007560016</v>
      </c>
      <c r="H85" s="28">
        <f t="shared" si="126"/>
        <v>-37369.486517235695</v>
      </c>
      <c r="I85" s="12">
        <f t="shared" si="126"/>
        <v>-267125.89949481003</v>
      </c>
      <c r="J85" s="12">
        <f t="shared" si="126"/>
        <v>114653.88893084262</v>
      </c>
      <c r="K85" s="12">
        <f t="shared" si="126"/>
        <v>2730.1616446130793</v>
      </c>
      <c r="L85" s="12">
        <f t="shared" si="126"/>
        <v>-3333.8442297822112</v>
      </c>
      <c r="M85" s="75">
        <f t="shared" si="126"/>
        <v>-13074.364815563074</v>
      </c>
      <c r="N85" s="28">
        <f t="shared" si="126"/>
        <v>-8176.9600326330137</v>
      </c>
      <c r="O85" s="12">
        <f t="shared" si="126"/>
        <v>-274185.64353349555</v>
      </c>
      <c r="P85" s="12">
        <f t="shared" si="126"/>
        <v>-52962.783300000003</v>
      </c>
      <c r="Q85" s="12">
        <f t="shared" si="126"/>
        <v>-93746.534944430314</v>
      </c>
      <c r="R85" s="12">
        <f t="shared" si="126"/>
        <v>-21341.393627134297</v>
      </c>
      <c r="S85" s="75">
        <f t="shared" si="126"/>
        <v>-30979.449387067303</v>
      </c>
      <c r="T85" s="28">
        <f t="shared" ref="T85:U85" si="127">T83*0.21</f>
        <v>1191882.5415706944</v>
      </c>
      <c r="U85" s="12">
        <f t="shared" si="127"/>
        <v>686281.93452136894</v>
      </c>
      <c r="V85" s="12">
        <f t="shared" si="126"/>
        <v>54429.022984475894</v>
      </c>
      <c r="W85" s="12">
        <f t="shared" ref="W85:X85" si="128">W83*0.21</f>
        <v>-33600</v>
      </c>
      <c r="X85" s="75">
        <f t="shared" si="128"/>
        <v>-30070.563829731018</v>
      </c>
      <c r="Y85" s="76">
        <f t="shared" si="126"/>
        <v>514897.09285922413</v>
      </c>
      <c r="Z85" s="28">
        <f t="shared" si="126"/>
        <v>0</v>
      </c>
      <c r="AA85" s="12">
        <f t="shared" si="126"/>
        <v>0</v>
      </c>
      <c r="AB85" s="12">
        <f t="shared" si="126"/>
        <v>0</v>
      </c>
      <c r="AC85" s="75">
        <f t="shared" ref="AC85" si="129">AC83*0.21</f>
        <v>902861.92337409535</v>
      </c>
      <c r="AD85" s="28">
        <f t="shared" si="126"/>
        <v>-350879.53362716798</v>
      </c>
      <c r="AE85" s="75">
        <f t="shared" si="126"/>
        <v>-449809.29</v>
      </c>
      <c r="AF85" s="28">
        <f t="shared" si="126"/>
        <v>0</v>
      </c>
      <c r="AG85" s="12">
        <f t="shared" si="126"/>
        <v>0</v>
      </c>
      <c r="AH85" s="12">
        <f t="shared" si="126"/>
        <v>-115264.60668345177</v>
      </c>
      <c r="AI85" s="12">
        <f t="shared" si="126"/>
        <v>0</v>
      </c>
      <c r="AJ85" s="12">
        <f t="shared" si="126"/>
        <v>52578.96</v>
      </c>
      <c r="AK85" s="75">
        <f t="shared" si="126"/>
        <v>970.25057353796319</v>
      </c>
      <c r="AL85" s="28">
        <f t="shared" si="126"/>
        <v>694.68</v>
      </c>
      <c r="AM85" s="12">
        <f t="shared" ref="AM85:AO85" si="130">AM83*0.21</f>
        <v>-37886.646767481325</v>
      </c>
      <c r="AN85" s="12">
        <f t="shared" si="130"/>
        <v>0</v>
      </c>
      <c r="AO85" s="75">
        <f t="shared" si="130"/>
        <v>-7169232.518736993</v>
      </c>
      <c r="AP85" s="28">
        <f t="shared" si="126"/>
        <v>0</v>
      </c>
      <c r="AQ85" s="75">
        <f t="shared" si="126"/>
        <v>4677214.6554000061</v>
      </c>
      <c r="AR85" s="28">
        <f t="shared" si="126"/>
        <v>0</v>
      </c>
      <c r="AS85" s="12">
        <f t="shared" si="126"/>
        <v>-1361212.8806226542</v>
      </c>
      <c r="AT85" s="12">
        <f t="shared" si="126"/>
        <v>0</v>
      </c>
      <c r="AU85" s="12">
        <f t="shared" si="126"/>
        <v>0</v>
      </c>
      <c r="AV85" s="12">
        <f t="shared" si="126"/>
        <v>-12688.116</v>
      </c>
      <c r="AW85" s="75">
        <f t="shared" si="126"/>
        <v>0</v>
      </c>
      <c r="AX85" s="28">
        <f t="shared" si="126"/>
        <v>0</v>
      </c>
      <c r="AY85" s="12">
        <f t="shared" si="126"/>
        <v>0</v>
      </c>
      <c r="AZ85" s="12">
        <f t="shared" si="126"/>
        <v>0</v>
      </c>
      <c r="BA85" s="12">
        <f t="shared" si="126"/>
        <v>-572737.37284922577</v>
      </c>
      <c r="BB85" s="12">
        <f t="shared" si="126"/>
        <v>-6192883.5842673071</v>
      </c>
      <c r="BC85" s="75">
        <f t="shared" ref="BC85" si="131">BC83*0.21</f>
        <v>0</v>
      </c>
      <c r="BD85" s="28">
        <f t="shared" ref="BD85:BG85" si="132">BD83*0.21</f>
        <v>641418.75891302247</v>
      </c>
      <c r="BE85" s="12">
        <f t="shared" si="132"/>
        <v>1370336.1022367645</v>
      </c>
      <c r="BF85" s="12">
        <f t="shared" si="132"/>
        <v>-82481.96369787147</v>
      </c>
      <c r="BG85" s="75">
        <f t="shared" si="132"/>
        <v>48418.78732695034</v>
      </c>
    </row>
    <row r="86" spans="1:59" x14ac:dyDescent="0.2">
      <c r="A86" s="14" t="s">
        <v>132</v>
      </c>
      <c r="B86" s="37">
        <f t="shared" si="125"/>
        <v>-14008794.664235296</v>
      </c>
      <c r="C86" s="28">
        <f>'Restating Adj'!C86+'Pro Forma Adj'!C86</f>
        <v>0</v>
      </c>
      <c r="D86" s="12">
        <f>'Restating Adj'!D86+'Pro Forma Adj'!D86</f>
        <v>0</v>
      </c>
      <c r="E86" s="12">
        <f>'Restating Adj'!E86+'Pro Forma Adj'!E86</f>
        <v>0</v>
      </c>
      <c r="F86" s="75">
        <f>'Restating Adj'!F86+'Pro Forma Adj'!F86</f>
        <v>0</v>
      </c>
      <c r="G86" s="76">
        <f>'Restating Adj'!G86+'Pro Forma Adj'!G86</f>
        <v>0</v>
      </c>
      <c r="H86" s="28">
        <f>'Restating Adj'!H86+'Pro Forma Adj'!H86</f>
        <v>0</v>
      </c>
      <c r="I86" s="12">
        <f>'Restating Adj'!I86+'Pro Forma Adj'!I86</f>
        <v>0</v>
      </c>
      <c r="J86" s="12">
        <f>'Restating Adj'!J86+'Pro Forma Adj'!J86</f>
        <v>0</v>
      </c>
      <c r="K86" s="12">
        <f>'Restating Adj'!K86+'Pro Forma Adj'!K86</f>
        <v>0</v>
      </c>
      <c r="L86" s="12">
        <f>'Restating Adj'!L86+'Pro Forma Adj'!L86</f>
        <v>0</v>
      </c>
      <c r="M86" s="75">
        <f>'Restating Adj'!M86+'Pro Forma Adj'!M86</f>
        <v>0</v>
      </c>
      <c r="N86" s="28">
        <f>'Restating Adj'!N86+'Pro Forma Adj'!N86</f>
        <v>0</v>
      </c>
      <c r="O86" s="12">
        <f>'Restating Adj'!O86+'Pro Forma Adj'!O86</f>
        <v>0</v>
      </c>
      <c r="P86" s="12">
        <f>'Restating Adj'!P86+'Pro Forma Adj'!P86</f>
        <v>0</v>
      </c>
      <c r="Q86" s="12">
        <f>'Restating Adj'!Q86+'Pro Forma Adj'!Q86</f>
        <v>0</v>
      </c>
      <c r="R86" s="12">
        <f>'Restating Adj'!R86+'Pro Forma Adj'!R86</f>
        <v>0</v>
      </c>
      <c r="S86" s="75">
        <f>'Restating Adj'!S86+'Pro Forma Adj'!S86</f>
        <v>0</v>
      </c>
      <c r="T86" s="28">
        <f>'Restating Adj'!T86+'Pro Forma Adj'!T86</f>
        <v>0</v>
      </c>
      <c r="U86" s="12">
        <f>'Restating Adj'!U86+'Pro Forma Adj'!U86</f>
        <v>0</v>
      </c>
      <c r="V86" s="12">
        <f>'Restating Adj'!V86+'Pro Forma Adj'!V86</f>
        <v>0</v>
      </c>
      <c r="W86" s="12">
        <f>'Restating Adj'!W86+'Pro Forma Adj'!W86</f>
        <v>0</v>
      </c>
      <c r="X86" s="75">
        <f>'Restating Adj'!X86+'Pro Forma Adj'!X86</f>
        <v>0</v>
      </c>
      <c r="Y86" s="76">
        <f>'Restating Adj'!Y86+'Pro Forma Adj'!Y86</f>
        <v>0</v>
      </c>
      <c r="Z86" s="28">
        <f>'Restating Adj'!Z86+'Pro Forma Adj'!Z86</f>
        <v>0</v>
      </c>
      <c r="AA86" s="12">
        <f>'Restating Adj'!AA86+'Pro Forma Adj'!AA86</f>
        <v>0</v>
      </c>
      <c r="AB86" s="12">
        <f>'Restating Adj'!AB86+'Pro Forma Adj'!AB86</f>
        <v>0</v>
      </c>
      <c r="AC86" s="75">
        <f>'Restating Adj'!AC86+'Pro Forma Adj'!AC86</f>
        <v>0</v>
      </c>
      <c r="AD86" s="28">
        <f>'Restating Adj'!AD86+'Pro Forma Adj'!AD86</f>
        <v>0</v>
      </c>
      <c r="AE86" s="75">
        <f>'Restating Adj'!AE86+'Pro Forma Adj'!AE86</f>
        <v>0</v>
      </c>
      <c r="AF86" s="28">
        <f>'Restating Adj'!AF86+'Pro Forma Adj'!AF86</f>
        <v>-14008794.664235296</v>
      </c>
      <c r="AG86" s="12">
        <f>'Restating Adj'!AG86+'Pro Forma Adj'!AG86</f>
        <v>0</v>
      </c>
      <c r="AH86" s="12">
        <f>'Restating Adj'!AH86+'Pro Forma Adj'!AH86</f>
        <v>0</v>
      </c>
      <c r="AI86" s="12">
        <f>'Restating Adj'!AI86+'Pro Forma Adj'!AI86</f>
        <v>0</v>
      </c>
      <c r="AJ86" s="12">
        <f>'Restating Adj'!AJ86+'Pro Forma Adj'!AJ86</f>
        <v>0</v>
      </c>
      <c r="AK86" s="75">
        <f>'Restating Adj'!AK86+'Pro Forma Adj'!AK86</f>
        <v>0</v>
      </c>
      <c r="AL86" s="28">
        <f>'Restating Adj'!AL86+'Pro Forma Adj'!AL86</f>
        <v>0</v>
      </c>
      <c r="AM86" s="12">
        <f>'Restating Adj'!AM86+'Pro Forma Adj'!AM86</f>
        <v>0</v>
      </c>
      <c r="AN86" s="12">
        <f>'Restating Adj'!AN86+'Pro Forma Adj'!AN86</f>
        <v>0</v>
      </c>
      <c r="AO86" s="75">
        <f>'Restating Adj'!AO86+'Pro Forma Adj'!AO86</f>
        <v>0</v>
      </c>
      <c r="AP86" s="28">
        <f>'Restating Adj'!AP86+'Pro Forma Adj'!AP86</f>
        <v>0</v>
      </c>
      <c r="AQ86" s="75">
        <f>'Restating Adj'!AQ86+'Pro Forma Adj'!AQ86</f>
        <v>0</v>
      </c>
      <c r="AR86" s="28">
        <f>'Restating Adj'!AR86+'Pro Forma Adj'!AR86</f>
        <v>0</v>
      </c>
      <c r="AS86" s="12">
        <f>'Restating Adj'!AS86+'Pro Forma Adj'!AS86</f>
        <v>0</v>
      </c>
      <c r="AT86" s="12">
        <f>'Restating Adj'!AT86+'Pro Forma Adj'!AT86</f>
        <v>0</v>
      </c>
      <c r="AU86" s="12">
        <f>'Restating Adj'!AU86+'Pro Forma Adj'!AU86</f>
        <v>0</v>
      </c>
      <c r="AV86" s="12">
        <f>'Restating Adj'!AV86+'Pro Forma Adj'!AV86</f>
        <v>0</v>
      </c>
      <c r="AW86" s="75">
        <f>'Restating Adj'!AW86+'Pro Forma Adj'!AW86</f>
        <v>0</v>
      </c>
      <c r="AX86" s="28">
        <f>'Restating Adj'!AX86+'Pro Forma Adj'!AX86</f>
        <v>0</v>
      </c>
      <c r="AY86" s="12">
        <f>'Restating Adj'!AY86+'Pro Forma Adj'!AY86</f>
        <v>0</v>
      </c>
      <c r="AZ86" s="12">
        <f>'Restating Adj'!AZ86+'Pro Forma Adj'!AZ86</f>
        <v>0</v>
      </c>
      <c r="BA86" s="12">
        <f>'Restating Adj'!BA86+'Pro Forma Adj'!BA86</f>
        <v>0</v>
      </c>
      <c r="BB86" s="12">
        <f>'Restating Adj'!BB86+'Pro Forma Adj'!BB86</f>
        <v>0</v>
      </c>
      <c r="BC86" s="75">
        <f>'Restating Adj'!BC86+'Pro Forma Adj'!BC86</f>
        <v>0</v>
      </c>
      <c r="BD86" s="28">
        <f>'Restating Adj'!BD86+'Pro Forma Adj'!BD86</f>
        <v>0</v>
      </c>
      <c r="BE86" s="12">
        <f>'Restating Adj'!BE86+'Pro Forma Adj'!BE86</f>
        <v>0</v>
      </c>
      <c r="BF86" s="12">
        <f>'Restating Adj'!BF86+'Pro Forma Adj'!BF86</f>
        <v>0</v>
      </c>
      <c r="BG86" s="75">
        <f>'Restating Adj'!BG86+'Pro Forma Adj'!BG86</f>
        <v>0</v>
      </c>
    </row>
    <row r="87" spans="1:59" s="2" customFormat="1" ht="13.5" thickBot="1" x14ac:dyDescent="0.25">
      <c r="A87" s="14" t="s">
        <v>133</v>
      </c>
      <c r="B87" s="272">
        <f t="shared" si="125"/>
        <v>-16007185.505418204</v>
      </c>
      <c r="C87" s="98">
        <f>C85+C86</f>
        <v>-1357438.9373999999</v>
      </c>
      <c r="D87" s="96">
        <f t="shared" ref="D87:AS87" si="133">D85+D86</f>
        <v>6157493.3302624086</v>
      </c>
      <c r="E87" s="96">
        <f t="shared" si="133"/>
        <v>13026.83751075797</v>
      </c>
      <c r="F87" s="97">
        <f t="shared" si="133"/>
        <v>95888.29506480429</v>
      </c>
      <c r="G87" s="279">
        <f t="shared" si="133"/>
        <v>44314.310007560016</v>
      </c>
      <c r="H87" s="98">
        <f t="shared" si="133"/>
        <v>-37369.486517235695</v>
      </c>
      <c r="I87" s="96">
        <f t="shared" si="133"/>
        <v>-267125.89949481003</v>
      </c>
      <c r="J87" s="96">
        <f t="shared" si="133"/>
        <v>114653.88893084262</v>
      </c>
      <c r="K87" s="96">
        <f t="shared" si="133"/>
        <v>2730.1616446130793</v>
      </c>
      <c r="L87" s="96">
        <f t="shared" si="133"/>
        <v>-3333.8442297822112</v>
      </c>
      <c r="M87" s="97">
        <f t="shared" si="133"/>
        <v>-13074.364815563074</v>
      </c>
      <c r="N87" s="98">
        <f t="shared" si="133"/>
        <v>-8176.9600326330137</v>
      </c>
      <c r="O87" s="96">
        <f t="shared" si="133"/>
        <v>-274185.64353349555</v>
      </c>
      <c r="P87" s="96">
        <f t="shared" si="133"/>
        <v>-52962.783300000003</v>
      </c>
      <c r="Q87" s="96">
        <f t="shared" si="133"/>
        <v>-93746.534944430314</v>
      </c>
      <c r="R87" s="96">
        <f t="shared" si="133"/>
        <v>-21341.393627134297</v>
      </c>
      <c r="S87" s="97">
        <f t="shared" si="133"/>
        <v>-30979.449387067303</v>
      </c>
      <c r="T87" s="98">
        <f t="shared" ref="T87:U87" si="134">T85+T86</f>
        <v>1191882.5415706944</v>
      </c>
      <c r="U87" s="96">
        <f t="shared" si="134"/>
        <v>686281.93452136894</v>
      </c>
      <c r="V87" s="96">
        <f t="shared" ref="V87:W87" si="135">V85+V86</f>
        <v>54429.022984475894</v>
      </c>
      <c r="W87" s="96">
        <f t="shared" si="135"/>
        <v>-33600</v>
      </c>
      <c r="X87" s="97">
        <f t="shared" ref="X87" si="136">X85+X86</f>
        <v>-30070.563829731018</v>
      </c>
      <c r="Y87" s="279">
        <f t="shared" si="133"/>
        <v>514897.09285922413</v>
      </c>
      <c r="Z87" s="98">
        <f t="shared" si="133"/>
        <v>0</v>
      </c>
      <c r="AA87" s="96">
        <f t="shared" si="133"/>
        <v>0</v>
      </c>
      <c r="AB87" s="96">
        <f t="shared" si="133"/>
        <v>0</v>
      </c>
      <c r="AC87" s="97">
        <f t="shared" ref="AC87" si="137">AC85+AC86</f>
        <v>902861.92337409535</v>
      </c>
      <c r="AD87" s="98">
        <f t="shared" si="133"/>
        <v>-350879.53362716798</v>
      </c>
      <c r="AE87" s="97">
        <f t="shared" si="133"/>
        <v>-449809.29</v>
      </c>
      <c r="AF87" s="98">
        <f t="shared" si="133"/>
        <v>-14008794.664235296</v>
      </c>
      <c r="AG87" s="96">
        <f t="shared" si="133"/>
        <v>0</v>
      </c>
      <c r="AH87" s="96">
        <f t="shared" si="133"/>
        <v>-115264.60668345177</v>
      </c>
      <c r="AI87" s="96">
        <f t="shared" si="133"/>
        <v>0</v>
      </c>
      <c r="AJ87" s="96">
        <f t="shared" si="133"/>
        <v>52578.96</v>
      </c>
      <c r="AK87" s="97">
        <f t="shared" si="133"/>
        <v>970.25057353796319</v>
      </c>
      <c r="AL87" s="98">
        <f t="shared" si="133"/>
        <v>694.68</v>
      </c>
      <c r="AM87" s="96">
        <f t="shared" ref="AM87:AO87" si="138">AM85+AM86</f>
        <v>-37886.646767481325</v>
      </c>
      <c r="AN87" s="96">
        <f t="shared" si="138"/>
        <v>0</v>
      </c>
      <c r="AO87" s="97">
        <f t="shared" si="138"/>
        <v>-7169232.518736993</v>
      </c>
      <c r="AP87" s="98">
        <f t="shared" si="133"/>
        <v>0</v>
      </c>
      <c r="AQ87" s="97">
        <f t="shared" si="133"/>
        <v>4677214.6554000061</v>
      </c>
      <c r="AR87" s="98">
        <f t="shared" si="133"/>
        <v>0</v>
      </c>
      <c r="AS87" s="96">
        <f t="shared" si="133"/>
        <v>-1361212.8806226542</v>
      </c>
      <c r="AT87" s="96">
        <f t="shared" ref="AT87:BB87" si="139">AT85+AT86</f>
        <v>0</v>
      </c>
      <c r="AU87" s="96">
        <f t="shared" si="139"/>
        <v>0</v>
      </c>
      <c r="AV87" s="96">
        <f t="shared" si="139"/>
        <v>-12688.116</v>
      </c>
      <c r="AW87" s="97">
        <f t="shared" si="139"/>
        <v>0</v>
      </c>
      <c r="AX87" s="98">
        <f t="shared" si="139"/>
        <v>0</v>
      </c>
      <c r="AY87" s="96">
        <f t="shared" si="139"/>
        <v>0</v>
      </c>
      <c r="AZ87" s="96">
        <f t="shared" si="139"/>
        <v>0</v>
      </c>
      <c r="BA87" s="96">
        <f t="shared" si="139"/>
        <v>-572737.37284922577</v>
      </c>
      <c r="BB87" s="96">
        <f t="shared" si="139"/>
        <v>-6192883.5842673071</v>
      </c>
      <c r="BC87" s="97">
        <f t="shared" ref="BC87" si="140">BC85+BC86</f>
        <v>0</v>
      </c>
      <c r="BD87" s="98">
        <f t="shared" ref="BD87:BG87" si="141">BD85+BD86</f>
        <v>641418.75891302247</v>
      </c>
      <c r="BE87" s="96">
        <f t="shared" si="141"/>
        <v>1370336.1022367645</v>
      </c>
      <c r="BF87" s="96">
        <f t="shared" si="141"/>
        <v>-82481.96369787147</v>
      </c>
      <c r="BG87" s="97">
        <f t="shared" si="141"/>
        <v>48418.78732695034</v>
      </c>
    </row>
    <row r="88" spans="1:59" s="2" customFormat="1" x14ac:dyDescent="0.2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</row>
    <row r="89" spans="1:59" s="2" customForma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</row>
    <row r="90" spans="1:59" s="2" customFormat="1" x14ac:dyDescent="0.2">
      <c r="A90" s="159"/>
      <c r="B90" s="12" t="s">
        <v>251</v>
      </c>
      <c r="C90" s="12">
        <f>C71-[1]AdjSummary!D68</f>
        <v>0</v>
      </c>
      <c r="D90" s="12">
        <f>D71-[1]AdjSummary!E68</f>
        <v>0</v>
      </c>
      <c r="E90" s="12">
        <f>E71-[1]AdjSummary!F68</f>
        <v>0</v>
      </c>
      <c r="F90" s="12">
        <f>F71-[1]AdjSummary!G68</f>
        <v>0</v>
      </c>
      <c r="G90" s="12">
        <f>G71-[1]AdjSummary!D155</f>
        <v>0</v>
      </c>
      <c r="H90" s="12">
        <f>H71-[1]AdjSummary!E155</f>
        <v>0</v>
      </c>
      <c r="I90" s="12">
        <f>I71-[1]AdjSummary!F155</f>
        <v>0</v>
      </c>
      <c r="J90" s="12">
        <f>J71-[1]AdjSummary!G155</f>
        <v>0</v>
      </c>
      <c r="K90" s="12">
        <f>K71-[1]AdjSummary!H155</f>
        <v>0</v>
      </c>
      <c r="L90" s="12">
        <f>L71-[1]AdjSummary!I155</f>
        <v>0</v>
      </c>
      <c r="M90" s="12">
        <f>M71-[1]AdjSummary!J155</f>
        <v>0</v>
      </c>
      <c r="N90" s="12">
        <f>N71-[1]AdjSummary!K155</f>
        <v>0</v>
      </c>
      <c r="O90" s="12">
        <f>O71-[1]AdjSummary!L155</f>
        <v>0</v>
      </c>
      <c r="P90" s="12">
        <f>P71-[1]AdjSummary!M155</f>
        <v>0</v>
      </c>
      <c r="Q90" s="12">
        <f>Q71-[1]AdjSummary!N155</f>
        <v>0</v>
      </c>
      <c r="R90" s="12">
        <f>R71-[1]AdjSummary!O155</f>
        <v>0</v>
      </c>
      <c r="S90" s="12">
        <f>S71-[1]AdjSummary!P155</f>
        <v>0</v>
      </c>
      <c r="T90" s="12">
        <f>T71-[1]AdjSummary!D242</f>
        <v>0</v>
      </c>
      <c r="U90" s="12">
        <f>U71-[1]AdjSummary!E242</f>
        <v>0</v>
      </c>
      <c r="V90" s="12">
        <f>V71-[1]AdjSummary!F242</f>
        <v>0</v>
      </c>
      <c r="W90" s="12">
        <f>W71-[1]AdjSummary!G242</f>
        <v>0</v>
      </c>
      <c r="X90" s="12">
        <f>X71-[1]AdjSummary!H242</f>
        <v>0</v>
      </c>
      <c r="Y90" s="12">
        <f>Y71-SUM([1]AdjSummary!$D$329:$E$329)</f>
        <v>0</v>
      </c>
      <c r="Z90" s="12">
        <f>Z71-SUM([1]AdjSummary!$F$329:$G$329)</f>
        <v>0</v>
      </c>
      <c r="AA90" s="12">
        <f>AA71-SUM([1]AdjSummary!$H$329:$K$329)</f>
        <v>0</v>
      </c>
      <c r="AB90" s="12">
        <f>AB71-[1]AdjSummary!$L$329</f>
        <v>0</v>
      </c>
      <c r="AC90" s="12">
        <f>AC67-SUM([1]AdjSummary!$M$325:$R$325)</f>
        <v>-8.149072527885437E-10</v>
      </c>
      <c r="AD90" s="12">
        <f>AD71-[1]AdjSummary!D416</f>
        <v>2.2270350018516183E-4</v>
      </c>
      <c r="AE90" s="12">
        <f>AE71-[1]AdjSummary!E416</f>
        <v>0.41214534500613809</v>
      </c>
      <c r="AF90" s="12">
        <f>AF71-[1]AdjSummary!F416</f>
        <v>0</v>
      </c>
      <c r="AG90" s="12">
        <f>AG71-[1]AdjSummary!G416</f>
        <v>0</v>
      </c>
      <c r="AH90" s="12">
        <f>AH71-[1]AdjSummary!H416</f>
        <v>0</v>
      </c>
      <c r="AI90" s="12">
        <f>AI71-[1]AdjSummary!I416</f>
        <v>0</v>
      </c>
      <c r="AJ90" s="12">
        <f>AJ71-[1]AdjSummary!J416</f>
        <v>0</v>
      </c>
      <c r="AK90" s="12">
        <f>AK71-[1]AdjSummary!K416</f>
        <v>0</v>
      </c>
      <c r="AL90" s="12">
        <f>AL71-[1]AdjSummary!L416</f>
        <v>0</v>
      </c>
      <c r="AM90" s="12">
        <f>AM71-[1]AdjSummary!M416</f>
        <v>0</v>
      </c>
      <c r="AN90" s="12">
        <f>AN71-[1]AdjSummary!N416</f>
        <v>0</v>
      </c>
      <c r="AO90" s="12">
        <f>AO71-[1]AdjSummary!O416-[1]AdjSummary!$P$416</f>
        <v>-3.4962999634444714E-3</v>
      </c>
      <c r="AP90" s="12">
        <f>AP71-[1]AdjSummary!D506</f>
        <v>0</v>
      </c>
      <c r="AQ90" s="12">
        <f>AQ71-[1]AdjSummary!E506</f>
        <v>0</v>
      </c>
      <c r="AR90" s="12">
        <f>AR71-[1]AdjSummary!F506</f>
        <v>0</v>
      </c>
      <c r="AS90" s="12">
        <f>AS71-SUM([1]AdjSummary!$G$506:$J$506)</f>
        <v>0</v>
      </c>
      <c r="AT90" s="12">
        <f>AT71-SUM([1]AdjSummary!$K$506:$L$506)</f>
        <v>0</v>
      </c>
      <c r="AU90" s="12">
        <f>AU71-[1]AdjSummary!M506</f>
        <v>0</v>
      </c>
      <c r="AV90" s="12">
        <f>AV71-[1]AdjSummary!N506</f>
        <v>0</v>
      </c>
      <c r="AW90" s="12">
        <f>AW71-[1]AdjSummary!O506</f>
        <v>8.1956386566162109E-8</v>
      </c>
      <c r="AX90" s="12">
        <f>AX71-[1]AdjSummary!P506</f>
        <v>0</v>
      </c>
      <c r="AY90" s="12">
        <f>AY71-SUM([1]AdjSummary!$Q$506:$V$506)</f>
        <v>0</v>
      </c>
      <c r="AZ90" s="12">
        <f>AZ71-[1]AdjSummary!W506</f>
        <v>0</v>
      </c>
      <c r="BA90" s="12">
        <f>BA71-[1]AdjSummary!X506</f>
        <v>0</v>
      </c>
      <c r="BB90" s="12">
        <f>BB71-[1]AdjSummary!Y506</f>
        <v>0</v>
      </c>
      <c r="BC90" s="12">
        <f>BC71-[1]AdjSummary!Z506</f>
        <v>0</v>
      </c>
      <c r="BD90" s="12">
        <f>BD71-SUM([1]AdjSummary!$D$593:$E$593)</f>
        <v>0</v>
      </c>
      <c r="BE90" s="12">
        <f>BE71-SUM([1]AdjSummary!$F$593:$G$593)</f>
        <v>0</v>
      </c>
      <c r="BF90" s="12">
        <f>BF71-[1]AdjSummary!H$593</f>
        <v>0</v>
      </c>
      <c r="BG90" s="12">
        <f>BG71-[1]AdjSummary!I$593</f>
        <v>0</v>
      </c>
    </row>
    <row r="91" spans="1:59" s="2" customFormat="1" x14ac:dyDescent="0.2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</row>
    <row r="92" spans="1:59" s="2" customFormat="1" x14ac:dyDescent="0.2">
      <c r="A92" s="14"/>
    </row>
    <row r="93" spans="1:59" s="2" customFormat="1" x14ac:dyDescent="0.2">
      <c r="A93" s="160"/>
      <c r="C93" s="2">
        <f>C87-[1]AdjSummary!D85</f>
        <v>0</v>
      </c>
      <c r="D93" s="2">
        <f>D87-[1]AdjSummary!E85</f>
        <v>0</v>
      </c>
      <c r="E93" s="2">
        <f>E87-[1]AdjSummary!F85</f>
        <v>0</v>
      </c>
      <c r="F93" s="2">
        <f>F87-[1]AdjSummary!G85</f>
        <v>0</v>
      </c>
      <c r="G93" s="2">
        <f>G87-[1]AdjSummary!D172</f>
        <v>0</v>
      </c>
      <c r="H93" s="2">
        <f>H87-[1]AdjSummary!E172</f>
        <v>0</v>
      </c>
      <c r="I93" s="2">
        <f>I87-[1]AdjSummary!F172</f>
        <v>0</v>
      </c>
      <c r="J93" s="2">
        <f>J87-[1]AdjSummary!G172</f>
        <v>0</v>
      </c>
      <c r="K93" s="2">
        <f>K87-[1]AdjSummary!H172</f>
        <v>0</v>
      </c>
      <c r="L93" s="2">
        <f>L87-[1]AdjSummary!I172</f>
        <v>0</v>
      </c>
      <c r="M93" s="2">
        <f>M87-[1]AdjSummary!J172</f>
        <v>0</v>
      </c>
      <c r="N93" s="2">
        <f>N87-[1]AdjSummary!K172</f>
        <v>0</v>
      </c>
      <c r="O93" s="2">
        <f>O87-[1]AdjSummary!L172</f>
        <v>0</v>
      </c>
      <c r="P93" s="2">
        <f>P87-[1]AdjSummary!M172</f>
        <v>0</v>
      </c>
      <c r="Q93" s="2">
        <f>Q87-[1]AdjSummary!N172</f>
        <v>0</v>
      </c>
      <c r="R93" s="2">
        <f>R87-[1]AdjSummary!O172</f>
        <v>0</v>
      </c>
      <c r="S93" s="2">
        <f>S87-[1]AdjSummary!P172</f>
        <v>0</v>
      </c>
      <c r="T93" s="2">
        <f>T87-[1]AdjSummary!D259</f>
        <v>0</v>
      </c>
      <c r="U93" s="2">
        <f>U87-[1]AdjSummary!E259</f>
        <v>0</v>
      </c>
      <c r="V93" s="2">
        <f>V87-[1]AdjSummary!F259</f>
        <v>0</v>
      </c>
      <c r="W93" s="2">
        <f>W87-[1]AdjSummary!G259</f>
        <v>0</v>
      </c>
      <c r="X93" s="2">
        <f>X87-[1]AdjSummary!H259</f>
        <v>0</v>
      </c>
      <c r="Y93" s="2">
        <f>Y87-SUM([1]AdjSummary!$D$346:$E$346)</f>
        <v>0</v>
      </c>
      <c r="Z93" s="2">
        <f>Z87-SUM([1]AdjSummary!$F$346:$G$346)</f>
        <v>0</v>
      </c>
      <c r="AA93" s="2">
        <f>AA87-SUM([1]AdjSummary!$H$346:$K$346)</f>
        <v>0</v>
      </c>
      <c r="AB93" s="2">
        <f>AB87-[1]AdjSummary!G346</f>
        <v>0</v>
      </c>
      <c r="AC93" s="2">
        <f>AC87-SUM([1]AdjSummary!$M$346:$R$346)</f>
        <v>0</v>
      </c>
      <c r="AD93" s="2">
        <f>AD87-[1]AdjSummary!D436</f>
        <v>1.6772904200479388E-4</v>
      </c>
      <c r="AE93" s="2">
        <f>AE87-[1]AdjSummary!E436</f>
        <v>-8.251332410145551E-2</v>
      </c>
      <c r="AF93" s="2">
        <f>AF87-[1]AdjSummary!F436</f>
        <v>0</v>
      </c>
      <c r="AG93" s="2">
        <f>AG87-[1]AdjSummary!G436</f>
        <v>0</v>
      </c>
      <c r="AH93" s="2">
        <f>AH87-[1]AdjSummary!H436</f>
        <v>0</v>
      </c>
      <c r="AI93" s="2">
        <f>AI87-[1]AdjSummary!I436</f>
        <v>0</v>
      </c>
      <c r="AJ93" s="2">
        <f>AJ87-[1]AdjSummary!J436</f>
        <v>0</v>
      </c>
      <c r="AK93" s="2">
        <f>AK87-[1]AdjSummary!K436</f>
        <v>0</v>
      </c>
      <c r="AL93" s="2">
        <f>AL87-[1]AdjSummary!L436</f>
        <v>0</v>
      </c>
      <c r="AM93" s="2">
        <f>AM87-[1]AdjSummary!M436</f>
        <v>0</v>
      </c>
      <c r="AN93" s="2">
        <f>AN87-[1]AdjSummary!N436</f>
        <v>0</v>
      </c>
      <c r="AO93" s="2">
        <f>AO87-[1]AdjSummary!O436-[1]AdjSummary!$P$436</f>
        <v>0</v>
      </c>
      <c r="AP93" s="2">
        <f>AP87-[1]AdjSummary!D523</f>
        <v>0</v>
      </c>
      <c r="AQ93" s="2">
        <f>AQ87-[1]AdjSummary!E523</f>
        <v>0</v>
      </c>
      <c r="AR93" s="2">
        <f>AR87-[1]AdjSummary!F523</f>
        <v>0</v>
      </c>
      <c r="AS93" s="2">
        <f>AS87-SUM([1]AdjSummary!$G$523:$J$523)</f>
        <v>0</v>
      </c>
      <c r="AT93" s="2">
        <f>AT87-SUM([1]AdjSummary!$K$523:$L$523)</f>
        <v>0</v>
      </c>
      <c r="AU93" s="2">
        <f>AU87-[1]AdjSummary!M523</f>
        <v>0</v>
      </c>
      <c r="AV93" s="2">
        <f>AV87-[1]AdjSummary!N523</f>
        <v>0</v>
      </c>
      <c r="AW93" s="2">
        <f>AW87-[1]AdjSummary!O523</f>
        <v>0</v>
      </c>
      <c r="AX93" s="2">
        <f>AX87-[1]AdjSummary!P523</f>
        <v>0</v>
      </c>
      <c r="AY93" s="2">
        <f>AY87-SUM([1]AdjSummary!$Q$523:$V$523)</f>
        <v>0</v>
      </c>
      <c r="AZ93" s="2">
        <f>AZ87-[1]AdjSummary!W523</f>
        <v>0</v>
      </c>
      <c r="BA93" s="2">
        <f>BA87-[1]AdjSummary!X523</f>
        <v>0</v>
      </c>
      <c r="BB93" s="2">
        <f>BB87-[1]AdjSummary!Y523</f>
        <v>0</v>
      </c>
      <c r="BC93" s="2">
        <f>BC87-[1]AdjSummary!Z523</f>
        <v>0</v>
      </c>
      <c r="BD93" s="2">
        <f>BD87-SUM([1]AdjSummary!$D$610:$E$610)</f>
        <v>0</v>
      </c>
      <c r="BE93" s="2">
        <f>BE87-SUM([1]AdjSummary!$F$610:$G$610)</f>
        <v>0</v>
      </c>
      <c r="BF93" s="2">
        <f>BF87-[1]AdjSummary!H$610</f>
        <v>0</v>
      </c>
      <c r="BG93" s="2">
        <f>BG87-[1]AdjSummary!I$610</f>
        <v>0</v>
      </c>
    </row>
  </sheetData>
  <mergeCells count="12">
    <mergeCell ref="AX7:BC7"/>
    <mergeCell ref="BD7:BG7"/>
    <mergeCell ref="AD7:AE7"/>
    <mergeCell ref="AF7:AK7"/>
    <mergeCell ref="AL7:AO7"/>
    <mergeCell ref="AP7:AQ7"/>
    <mergeCell ref="AR7:AW7"/>
    <mergeCell ref="C7:F7"/>
    <mergeCell ref="H7:M7"/>
    <mergeCell ref="N7:S7"/>
    <mergeCell ref="T7:X7"/>
    <mergeCell ref="Z7:AC7"/>
  </mergeCells>
  <pageMargins left="1" right="0.5" top="0.75" bottom="0.5" header="0.4" footer="0.5"/>
  <pageSetup scale="62" firstPageNumber="7" fitToWidth="0" orientation="portrait" useFirstPageNumber="1" r:id="rId1"/>
  <headerFooter alignWithMargins="0">
    <oddHeader>&amp;RPage 1.&amp;P</oddHeader>
  </headerFooter>
  <colBreaks count="5" manualBreakCount="5">
    <brk id="7" min="6" max="86" man="1"/>
    <brk id="13" min="6" max="86" man="1"/>
    <brk id="19" min="6" max="86" man="1"/>
    <brk id="25" min="6" max="86" man="1"/>
    <brk id="31" min="6" max="86" man="1"/>
  </colBreaks>
  <customProperties>
    <customPr name="_pios_id" r:id="rId2"/>
  </customProperties>
  <ignoredErrors>
    <ignoredError sqref="B12:B38 BD8:BG87 B40:B87 C8:BB87 BC8:BC9 BC12:BC16 BC19:BC38 BC43:BC54 BC57:BC65 BC75:BC79 BC83 BC85:BC87 C90:BG90" unlockedFormula="1"/>
    <ignoredError sqref="B39" formula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G93"/>
  <sheetViews>
    <sheetView view="pageBreakPreview" zoomScale="70" zoomScaleNormal="70" zoomScaleSheetLayoutView="70" workbookViewId="0">
      <selection activeCell="A3" sqref="A3"/>
    </sheetView>
  </sheetViews>
  <sheetFormatPr defaultRowHeight="12.75" x14ac:dyDescent="0.2"/>
  <cols>
    <col min="1" max="1" width="36" style="2" customWidth="1"/>
    <col min="2" max="2" width="23" style="15" bestFit="1" customWidth="1"/>
    <col min="3" max="3" width="17.28515625" style="15" bestFit="1" customWidth="1"/>
    <col min="4" max="4" width="16" style="2" customWidth="1"/>
    <col min="5" max="5" width="16.42578125" style="2" customWidth="1"/>
    <col min="6" max="6" width="14.5703125" style="2" customWidth="1"/>
    <col min="7" max="7" width="16.140625" style="2" customWidth="1"/>
    <col min="8" max="8" width="17.28515625" style="2" bestFit="1" customWidth="1"/>
    <col min="9" max="9" width="16.42578125" style="2" customWidth="1"/>
    <col min="10" max="10" width="15.42578125" style="2" customWidth="1"/>
    <col min="11" max="11" width="16" style="2" customWidth="1"/>
    <col min="12" max="12" width="17.28515625" style="2" bestFit="1" customWidth="1"/>
    <col min="13" max="13" width="21" style="2" bestFit="1" customWidth="1"/>
    <col min="14" max="14" width="15.7109375" style="2" customWidth="1"/>
    <col min="15" max="15" width="17.28515625" style="2" bestFit="1" customWidth="1"/>
    <col min="16" max="16" width="15.140625" style="2" customWidth="1"/>
    <col min="17" max="17" width="16" style="2" bestFit="1" customWidth="1"/>
    <col min="18" max="19" width="17.28515625" style="2" bestFit="1" customWidth="1"/>
    <col min="20" max="20" width="13.85546875" style="2" customWidth="1"/>
    <col min="21" max="21" width="14.28515625" style="2" customWidth="1"/>
    <col min="22" max="22" width="14.42578125" style="2" customWidth="1"/>
    <col min="23" max="23" width="15.28515625" style="2" customWidth="1"/>
    <col min="24" max="24" width="15.140625" style="2" customWidth="1"/>
    <col min="25" max="25" width="16.5703125" style="2" customWidth="1"/>
    <col min="26" max="26" width="16.140625" style="2" customWidth="1"/>
    <col min="27" max="27" width="15.28515625" style="2" customWidth="1"/>
    <col min="28" max="28" width="17.28515625" style="2" bestFit="1" customWidth="1"/>
    <col min="29" max="29" width="17.28515625" style="2" customWidth="1"/>
    <col min="30" max="38" width="17.28515625" style="2" bestFit="1" customWidth="1"/>
    <col min="39" max="41" width="17.28515625" style="2" customWidth="1"/>
    <col min="42" max="45" width="17.28515625" style="2" bestFit="1" customWidth="1"/>
    <col min="46" max="46" width="15.5703125" style="2" customWidth="1"/>
    <col min="47" max="59" width="17.28515625" style="2" bestFit="1" customWidth="1"/>
    <col min="60" max="16384" width="9.140625" style="15"/>
  </cols>
  <sheetData>
    <row r="1" spans="1:59" x14ac:dyDescent="0.2">
      <c r="A1" s="4" t="s">
        <v>42</v>
      </c>
    </row>
    <row r="2" spans="1:59" s="2" customFormat="1" x14ac:dyDescent="0.2">
      <c r="A2" s="146" t="str">
        <f>'Total Adj'!A2</f>
        <v>Washington General Rate Case - 2021</v>
      </c>
    </row>
    <row r="3" spans="1:59" s="2" customFormat="1" x14ac:dyDescent="0.2">
      <c r="A3" s="147" t="s">
        <v>183</v>
      </c>
    </row>
    <row r="4" spans="1:59" s="2" customFormat="1" x14ac:dyDescent="0.2">
      <c r="A4" s="148"/>
    </row>
    <row r="5" spans="1:59" s="2" customFormat="1" x14ac:dyDescent="0.2">
      <c r="A5" s="146"/>
    </row>
    <row r="6" spans="1:59" s="4" customFormat="1" ht="13.5" thickBot="1" x14ac:dyDescent="0.25">
      <c r="A6" s="148"/>
    </row>
    <row r="7" spans="1:59" s="149" customFormat="1" ht="13.5" thickBot="1" x14ac:dyDescent="0.25">
      <c r="A7" s="4"/>
      <c r="B7" s="267"/>
      <c r="C7" s="282" t="s">
        <v>35</v>
      </c>
      <c r="D7" s="283"/>
      <c r="E7" s="283"/>
      <c r="F7" s="284"/>
      <c r="G7" s="273" t="s">
        <v>317</v>
      </c>
      <c r="H7" s="282" t="s">
        <v>239</v>
      </c>
      <c r="I7" s="283"/>
      <c r="J7" s="283"/>
      <c r="K7" s="283"/>
      <c r="L7" s="283"/>
      <c r="M7" s="284"/>
      <c r="N7" s="282" t="s">
        <v>239</v>
      </c>
      <c r="O7" s="283"/>
      <c r="P7" s="283"/>
      <c r="Q7" s="283"/>
      <c r="R7" s="283"/>
      <c r="S7" s="284"/>
      <c r="T7" s="282" t="s">
        <v>254</v>
      </c>
      <c r="U7" s="283"/>
      <c r="V7" s="283"/>
      <c r="W7" s="283"/>
      <c r="X7" s="284"/>
      <c r="Y7" s="273" t="s">
        <v>318</v>
      </c>
      <c r="Z7" s="282" t="s">
        <v>232</v>
      </c>
      <c r="AA7" s="283"/>
      <c r="AB7" s="283"/>
      <c r="AC7" s="284"/>
      <c r="AD7" s="282" t="s">
        <v>36</v>
      </c>
      <c r="AE7" s="284"/>
      <c r="AF7" s="282" t="s">
        <v>36</v>
      </c>
      <c r="AG7" s="283"/>
      <c r="AH7" s="283"/>
      <c r="AI7" s="283"/>
      <c r="AJ7" s="283"/>
      <c r="AK7" s="284"/>
      <c r="AL7" s="282" t="s">
        <v>36</v>
      </c>
      <c r="AM7" s="283"/>
      <c r="AN7" s="283"/>
      <c r="AO7" s="284"/>
      <c r="AP7" s="282" t="s">
        <v>37</v>
      </c>
      <c r="AQ7" s="284"/>
      <c r="AR7" s="282" t="s">
        <v>37</v>
      </c>
      <c r="AS7" s="283"/>
      <c r="AT7" s="283"/>
      <c r="AU7" s="283"/>
      <c r="AV7" s="283"/>
      <c r="AW7" s="284"/>
      <c r="AX7" s="282" t="s">
        <v>37</v>
      </c>
      <c r="AY7" s="283"/>
      <c r="AZ7" s="283"/>
      <c r="BA7" s="283"/>
      <c r="BB7" s="283"/>
      <c r="BC7" s="284"/>
      <c r="BD7" s="282" t="s">
        <v>319</v>
      </c>
      <c r="BE7" s="283"/>
      <c r="BF7" s="283"/>
      <c r="BG7" s="284"/>
    </row>
    <row r="8" spans="1:59" x14ac:dyDescent="0.2">
      <c r="B8" s="74"/>
      <c r="C8" s="74" t="s">
        <v>0</v>
      </c>
      <c r="D8" s="71" t="s">
        <v>2</v>
      </c>
      <c r="E8" s="71" t="s">
        <v>3</v>
      </c>
      <c r="F8" s="72" t="s">
        <v>4</v>
      </c>
      <c r="G8" s="73" t="s">
        <v>1</v>
      </c>
      <c r="H8" s="74" t="s">
        <v>5</v>
      </c>
      <c r="I8" s="71" t="s">
        <v>6</v>
      </c>
      <c r="J8" s="71" t="s">
        <v>7</v>
      </c>
      <c r="K8" s="71" t="s">
        <v>8</v>
      </c>
      <c r="L8" s="71" t="s">
        <v>9</v>
      </c>
      <c r="M8" s="72" t="s">
        <v>10</v>
      </c>
      <c r="N8" s="74" t="s">
        <v>38</v>
      </c>
      <c r="O8" s="71" t="s">
        <v>177</v>
      </c>
      <c r="P8" s="71" t="s">
        <v>178</v>
      </c>
      <c r="Q8" s="71" t="s">
        <v>277</v>
      </c>
      <c r="R8" s="71" t="s">
        <v>278</v>
      </c>
      <c r="S8" s="280" t="s">
        <v>279</v>
      </c>
      <c r="T8" s="261" t="s">
        <v>11</v>
      </c>
      <c r="U8" s="262" t="s">
        <v>41</v>
      </c>
      <c r="V8" s="71" t="s">
        <v>284</v>
      </c>
      <c r="W8" s="71" t="s">
        <v>285</v>
      </c>
      <c r="X8" s="72" t="s">
        <v>287</v>
      </c>
      <c r="Y8" s="73" t="s">
        <v>12</v>
      </c>
      <c r="Z8" s="74" t="s">
        <v>233</v>
      </c>
      <c r="AA8" s="71" t="s">
        <v>242</v>
      </c>
      <c r="AB8" s="71" t="s">
        <v>250</v>
      </c>
      <c r="AC8" s="72" t="s">
        <v>292</v>
      </c>
      <c r="AD8" s="74" t="s">
        <v>13</v>
      </c>
      <c r="AE8" s="72" t="s">
        <v>14</v>
      </c>
      <c r="AF8" s="74" t="s">
        <v>15</v>
      </c>
      <c r="AG8" s="71" t="s">
        <v>16</v>
      </c>
      <c r="AH8" s="71" t="s">
        <v>39</v>
      </c>
      <c r="AI8" s="71" t="s">
        <v>40</v>
      </c>
      <c r="AJ8" s="71" t="s">
        <v>17</v>
      </c>
      <c r="AK8" s="72" t="s">
        <v>18</v>
      </c>
      <c r="AL8" s="74" t="s">
        <v>263</v>
      </c>
      <c r="AM8" s="71" t="s">
        <v>296</v>
      </c>
      <c r="AN8" s="71" t="s">
        <v>298</v>
      </c>
      <c r="AO8" s="72" t="s">
        <v>300</v>
      </c>
      <c r="AP8" s="74" t="s">
        <v>19</v>
      </c>
      <c r="AQ8" s="72" t="s">
        <v>20</v>
      </c>
      <c r="AR8" s="74" t="s">
        <v>21</v>
      </c>
      <c r="AS8" s="71" t="s">
        <v>22</v>
      </c>
      <c r="AT8" s="71" t="s">
        <v>23</v>
      </c>
      <c r="AU8" s="71" t="s">
        <v>24</v>
      </c>
      <c r="AV8" s="71" t="s">
        <v>25</v>
      </c>
      <c r="AW8" s="72" t="s">
        <v>26</v>
      </c>
      <c r="AX8" s="261" t="s">
        <v>27</v>
      </c>
      <c r="AY8" s="262" t="s">
        <v>187</v>
      </c>
      <c r="AZ8" s="262" t="s">
        <v>237</v>
      </c>
      <c r="BA8" s="262" t="s">
        <v>238</v>
      </c>
      <c r="BB8" s="262" t="s">
        <v>245</v>
      </c>
      <c r="BC8" s="280" t="s">
        <v>326</v>
      </c>
      <c r="BD8" s="261" t="s">
        <v>307</v>
      </c>
      <c r="BE8" s="262" t="s">
        <v>308</v>
      </c>
      <c r="BF8" s="262" t="s">
        <v>309</v>
      </c>
      <c r="BG8" s="280" t="s">
        <v>313</v>
      </c>
    </row>
    <row r="9" spans="1:59" s="150" customFormat="1" ht="81" customHeight="1" x14ac:dyDescent="0.2">
      <c r="A9" s="14"/>
      <c r="B9" s="268" t="s">
        <v>264</v>
      </c>
      <c r="C9" s="99" t="s">
        <v>107</v>
      </c>
      <c r="D9" s="101" t="s">
        <v>255</v>
      </c>
      <c r="E9" s="101" t="s">
        <v>229</v>
      </c>
      <c r="F9" s="100" t="s">
        <v>272</v>
      </c>
      <c r="G9" s="274" t="s">
        <v>271</v>
      </c>
      <c r="H9" s="99" t="s">
        <v>256</v>
      </c>
      <c r="I9" s="101" t="s">
        <v>273</v>
      </c>
      <c r="J9" s="101" t="s">
        <v>181</v>
      </c>
      <c r="K9" s="101" t="s">
        <v>230</v>
      </c>
      <c r="L9" s="101" t="s">
        <v>275</v>
      </c>
      <c r="M9" s="100" t="s">
        <v>262</v>
      </c>
      <c r="N9" s="99" t="s">
        <v>231</v>
      </c>
      <c r="O9" s="101" t="s">
        <v>276</v>
      </c>
      <c r="P9" s="101" t="s">
        <v>108</v>
      </c>
      <c r="Q9" s="101" t="s">
        <v>325</v>
      </c>
      <c r="R9" s="101" t="s">
        <v>280</v>
      </c>
      <c r="S9" s="100" t="s">
        <v>281</v>
      </c>
      <c r="T9" s="99" t="s">
        <v>282</v>
      </c>
      <c r="U9" s="101" t="s">
        <v>283</v>
      </c>
      <c r="V9" s="101" t="s">
        <v>179</v>
      </c>
      <c r="W9" s="101" t="s">
        <v>286</v>
      </c>
      <c r="X9" s="100" t="s">
        <v>288</v>
      </c>
      <c r="Y9" s="274" t="s">
        <v>289</v>
      </c>
      <c r="Z9" s="99" t="s">
        <v>290</v>
      </c>
      <c r="AA9" s="101" t="s">
        <v>291</v>
      </c>
      <c r="AB9" s="101" t="s">
        <v>257</v>
      </c>
      <c r="AC9" s="100" t="s">
        <v>293</v>
      </c>
      <c r="AD9" s="99" t="s">
        <v>109</v>
      </c>
      <c r="AE9" s="100" t="s">
        <v>234</v>
      </c>
      <c r="AF9" s="99" t="s">
        <v>258</v>
      </c>
      <c r="AG9" s="101" t="s">
        <v>240</v>
      </c>
      <c r="AH9" s="101" t="s">
        <v>294</v>
      </c>
      <c r="AI9" s="101" t="s">
        <v>180</v>
      </c>
      <c r="AJ9" s="101" t="s">
        <v>235</v>
      </c>
      <c r="AK9" s="100" t="s">
        <v>259</v>
      </c>
      <c r="AL9" s="99" t="s">
        <v>295</v>
      </c>
      <c r="AM9" s="101" t="s">
        <v>297</v>
      </c>
      <c r="AN9" s="101" t="s">
        <v>299</v>
      </c>
      <c r="AO9" s="100" t="s">
        <v>301</v>
      </c>
      <c r="AP9" s="99" t="s">
        <v>236</v>
      </c>
      <c r="AQ9" s="100" t="s">
        <v>302</v>
      </c>
      <c r="AR9" s="99" t="s">
        <v>110</v>
      </c>
      <c r="AS9" s="101" t="s">
        <v>253</v>
      </c>
      <c r="AT9" s="101" t="s">
        <v>303</v>
      </c>
      <c r="AU9" s="101" t="s">
        <v>221</v>
      </c>
      <c r="AV9" s="101" t="s">
        <v>92</v>
      </c>
      <c r="AW9" s="100" t="s">
        <v>246</v>
      </c>
      <c r="AX9" s="99" t="s">
        <v>304</v>
      </c>
      <c r="AY9" s="101" t="s">
        <v>260</v>
      </c>
      <c r="AZ9" s="101" t="s">
        <v>261</v>
      </c>
      <c r="BA9" s="101" t="s">
        <v>305</v>
      </c>
      <c r="BB9" s="101" t="s">
        <v>306</v>
      </c>
      <c r="BC9" s="100" t="s">
        <v>327</v>
      </c>
      <c r="BD9" s="99" t="s">
        <v>243</v>
      </c>
      <c r="BE9" s="101" t="s">
        <v>310</v>
      </c>
      <c r="BF9" s="101" t="s">
        <v>311</v>
      </c>
      <c r="BG9" s="100" t="s">
        <v>312</v>
      </c>
    </row>
    <row r="10" spans="1:59" x14ac:dyDescent="0.2">
      <c r="B10" s="269"/>
      <c r="C10" s="37"/>
      <c r="F10" s="83"/>
      <c r="G10" s="158"/>
      <c r="H10" s="37"/>
      <c r="M10" s="83"/>
      <c r="N10" s="37"/>
      <c r="S10" s="83"/>
      <c r="T10" s="37"/>
      <c r="X10" s="83"/>
      <c r="Y10" s="158"/>
      <c r="Z10" s="37"/>
      <c r="AC10" s="83"/>
      <c r="AD10" s="37"/>
      <c r="AE10" s="83"/>
      <c r="AF10" s="37"/>
      <c r="AK10" s="83"/>
      <c r="AL10" s="37"/>
      <c r="AO10" s="83"/>
      <c r="AP10" s="37"/>
      <c r="AQ10" s="83"/>
      <c r="AR10" s="37"/>
      <c r="AW10" s="83"/>
      <c r="AX10" s="37"/>
      <c r="BC10" s="83"/>
      <c r="BD10" s="37"/>
      <c r="BG10" s="83"/>
    </row>
    <row r="11" spans="1:59" x14ac:dyDescent="0.2">
      <c r="A11" s="14" t="s">
        <v>45</v>
      </c>
      <c r="B11" s="28"/>
      <c r="C11" s="28"/>
      <c r="D11" s="12"/>
      <c r="E11" s="12"/>
      <c r="F11" s="75"/>
      <c r="G11" s="76"/>
      <c r="H11" s="28"/>
      <c r="I11" s="12"/>
      <c r="J11" s="12"/>
      <c r="K11" s="12"/>
      <c r="L11" s="12"/>
      <c r="M11" s="75"/>
      <c r="N11" s="28"/>
      <c r="O11" s="12"/>
      <c r="P11" s="12"/>
      <c r="Q11" s="12"/>
      <c r="R11" s="12"/>
      <c r="S11" s="75"/>
      <c r="T11" s="28"/>
      <c r="U11" s="12"/>
      <c r="V11" s="12"/>
      <c r="W11" s="12"/>
      <c r="X11" s="75"/>
      <c r="Y11" s="76"/>
      <c r="Z11" s="28"/>
      <c r="AA11" s="12"/>
      <c r="AB11" s="12"/>
      <c r="AC11" s="75"/>
      <c r="AD11" s="28"/>
      <c r="AE11" s="75"/>
      <c r="AF11" s="28"/>
      <c r="AG11" s="12"/>
      <c r="AH11" s="12"/>
      <c r="AI11" s="12"/>
      <c r="AJ11" s="12"/>
      <c r="AK11" s="75"/>
      <c r="AL11" s="28"/>
      <c r="AM11" s="12"/>
      <c r="AN11" s="12"/>
      <c r="AO11" s="75"/>
      <c r="AP11" s="28"/>
      <c r="AQ11" s="75"/>
      <c r="AR11" s="28"/>
      <c r="AS11" s="12"/>
      <c r="AT11" s="12"/>
      <c r="AU11" s="12"/>
      <c r="AV11" s="12"/>
      <c r="AW11" s="75"/>
      <c r="AX11" s="28"/>
      <c r="AY11" s="12"/>
      <c r="AZ11" s="12"/>
      <c r="BA11" s="12"/>
      <c r="BB11" s="12"/>
      <c r="BC11" s="75"/>
      <c r="BD11" s="28"/>
      <c r="BE11" s="12"/>
      <c r="BF11" s="12"/>
      <c r="BG11" s="75"/>
    </row>
    <row r="12" spans="1:59" x14ac:dyDescent="0.2">
      <c r="A12" s="14" t="s">
        <v>46</v>
      </c>
      <c r="B12" s="29">
        <f>SUM(C12:BG12)</f>
        <v>22605198.140773375</v>
      </c>
      <c r="C12" s="30">
        <f>'[2]Page 3.1'!$I$16</f>
        <v>-6463994.9400000004</v>
      </c>
      <c r="D12" s="79">
        <f>'[3]Page 3.2'!$I$14</f>
        <v>29321396.810773376</v>
      </c>
      <c r="E12" s="79"/>
      <c r="F12" s="80"/>
      <c r="G12" s="275"/>
      <c r="H12" s="30"/>
      <c r="I12" s="79"/>
      <c r="J12" s="79"/>
      <c r="K12" s="79"/>
      <c r="L12" s="79"/>
      <c r="M12" s="80"/>
      <c r="N12" s="30"/>
      <c r="O12" s="79"/>
      <c r="P12" s="79">
        <f>SUM('[4]Page 4.10'!$I$11:$I$14)</f>
        <v>-252203.73</v>
      </c>
      <c r="Q12" s="79"/>
      <c r="R12" s="79"/>
      <c r="S12" s="80"/>
      <c r="T12" s="30"/>
      <c r="U12" s="79"/>
      <c r="V12" s="79"/>
      <c r="W12" s="79"/>
      <c r="X12" s="80"/>
      <c r="Y12" s="275"/>
      <c r="Z12" s="30"/>
      <c r="AA12" s="79"/>
      <c r="AB12" s="79"/>
      <c r="AC12" s="80"/>
      <c r="AD12" s="30"/>
      <c r="AE12" s="80"/>
      <c r="AF12" s="30"/>
      <c r="AG12" s="79"/>
      <c r="AH12" s="79"/>
      <c r="AI12" s="79"/>
      <c r="AJ12" s="79"/>
      <c r="AK12" s="80"/>
      <c r="AL12" s="30"/>
      <c r="AM12" s="79"/>
      <c r="AN12" s="79"/>
      <c r="AO12" s="80"/>
      <c r="AP12" s="30"/>
      <c r="AQ12" s="80"/>
      <c r="AR12" s="30"/>
      <c r="AS12" s="79"/>
      <c r="AT12" s="79"/>
      <c r="AU12" s="79"/>
      <c r="AV12" s="79"/>
      <c r="AW12" s="80"/>
      <c r="AX12" s="30"/>
      <c r="AY12" s="79"/>
      <c r="AZ12" s="79"/>
      <c r="BA12" s="79"/>
      <c r="BB12" s="79"/>
      <c r="BC12" s="80"/>
      <c r="BD12" s="30"/>
      <c r="BE12" s="79"/>
      <c r="BF12" s="79"/>
      <c r="BG12" s="80"/>
    </row>
    <row r="13" spans="1:59" x14ac:dyDescent="0.2">
      <c r="A13" s="14" t="s">
        <v>47</v>
      </c>
      <c r="B13" s="29">
        <f t="shared" ref="B13:B16" si="0">SUM(C13:BG13)</f>
        <v>0</v>
      </c>
      <c r="C13" s="30"/>
      <c r="D13" s="79"/>
      <c r="E13" s="79"/>
      <c r="F13" s="80"/>
      <c r="G13" s="275"/>
      <c r="H13" s="30"/>
      <c r="I13" s="79"/>
      <c r="J13" s="79"/>
      <c r="K13" s="79"/>
      <c r="L13" s="79"/>
      <c r="M13" s="80"/>
      <c r="N13" s="30"/>
      <c r="O13" s="79"/>
      <c r="P13" s="79"/>
      <c r="Q13" s="79"/>
      <c r="R13" s="79"/>
      <c r="S13" s="80"/>
      <c r="T13" s="30"/>
      <c r="U13" s="79"/>
      <c r="V13" s="79"/>
      <c r="W13" s="79"/>
      <c r="X13" s="80"/>
      <c r="Y13" s="275"/>
      <c r="Z13" s="30"/>
      <c r="AA13" s="79"/>
      <c r="AB13" s="79"/>
      <c r="AC13" s="80"/>
      <c r="AD13" s="30"/>
      <c r="AE13" s="80"/>
      <c r="AF13" s="30"/>
      <c r="AG13" s="79"/>
      <c r="AH13" s="79"/>
      <c r="AI13" s="79"/>
      <c r="AJ13" s="79"/>
      <c r="AK13" s="80"/>
      <c r="AL13" s="30"/>
      <c r="AM13" s="79"/>
      <c r="AN13" s="79"/>
      <c r="AO13" s="80"/>
      <c r="AP13" s="30"/>
      <c r="AQ13" s="80"/>
      <c r="AR13" s="30"/>
      <c r="AS13" s="79"/>
      <c r="AT13" s="79"/>
      <c r="AU13" s="79"/>
      <c r="AV13" s="79"/>
      <c r="AW13" s="80"/>
      <c r="AX13" s="30"/>
      <c r="AY13" s="79"/>
      <c r="AZ13" s="79"/>
      <c r="BA13" s="79"/>
      <c r="BB13" s="79"/>
      <c r="BC13" s="80"/>
      <c r="BD13" s="30"/>
      <c r="BE13" s="79"/>
      <c r="BF13" s="79"/>
      <c r="BG13" s="80"/>
    </row>
    <row r="14" spans="1:59" x14ac:dyDescent="0.2">
      <c r="A14" s="14" t="s">
        <v>48</v>
      </c>
      <c r="B14" s="29">
        <f t="shared" si="0"/>
        <v>0</v>
      </c>
      <c r="C14" s="30"/>
      <c r="D14" s="79"/>
      <c r="E14" s="79"/>
      <c r="F14" s="80"/>
      <c r="G14" s="275"/>
      <c r="H14" s="30"/>
      <c r="I14" s="79"/>
      <c r="J14" s="79"/>
      <c r="K14" s="79"/>
      <c r="L14" s="79"/>
      <c r="M14" s="80"/>
      <c r="N14" s="30"/>
      <c r="O14" s="79"/>
      <c r="P14" s="79"/>
      <c r="Q14" s="79"/>
      <c r="R14" s="79"/>
      <c r="S14" s="80"/>
      <c r="T14" s="30"/>
      <c r="U14" s="79"/>
      <c r="V14" s="79"/>
      <c r="W14" s="79"/>
      <c r="X14" s="80"/>
      <c r="Y14" s="275"/>
      <c r="Z14" s="30"/>
      <c r="AA14" s="79"/>
      <c r="AB14" s="79"/>
      <c r="AC14" s="80"/>
      <c r="AD14" s="30"/>
      <c r="AE14" s="80"/>
      <c r="AF14" s="30"/>
      <c r="AG14" s="79"/>
      <c r="AH14" s="79"/>
      <c r="AI14" s="79"/>
      <c r="AJ14" s="79"/>
      <c r="AK14" s="80"/>
      <c r="AL14" s="30"/>
      <c r="AM14" s="79"/>
      <c r="AN14" s="79"/>
      <c r="AO14" s="80"/>
      <c r="AP14" s="30"/>
      <c r="AQ14" s="80"/>
      <c r="AR14" s="30"/>
      <c r="AS14" s="79"/>
      <c r="AT14" s="79"/>
      <c r="AU14" s="79"/>
      <c r="AV14" s="79"/>
      <c r="AW14" s="80"/>
      <c r="AX14" s="30"/>
      <c r="AY14" s="79"/>
      <c r="AZ14" s="79"/>
      <c r="BA14" s="79"/>
      <c r="BB14" s="79"/>
      <c r="BC14" s="80"/>
      <c r="BD14" s="30"/>
      <c r="BE14" s="79"/>
      <c r="BF14" s="79"/>
      <c r="BG14" s="80"/>
    </row>
    <row r="15" spans="1:59" x14ac:dyDescent="0.2">
      <c r="A15" s="14" t="s">
        <v>49</v>
      </c>
      <c r="B15" s="29">
        <f t="shared" si="0"/>
        <v>-105882.16327527266</v>
      </c>
      <c r="C15" s="30"/>
      <c r="D15" s="79"/>
      <c r="E15" s="79">
        <f>'[5]Page 3.3'!$I$12</f>
        <v>-105882.16327527266</v>
      </c>
      <c r="F15" s="80"/>
      <c r="G15" s="275"/>
      <c r="H15" s="30"/>
      <c r="I15" s="79"/>
      <c r="J15" s="79"/>
      <c r="K15" s="79"/>
      <c r="L15" s="79"/>
      <c r="M15" s="80"/>
      <c r="N15" s="30"/>
      <c r="O15" s="79"/>
      <c r="P15" s="79"/>
      <c r="Q15" s="79"/>
      <c r="R15" s="79"/>
      <c r="S15" s="80"/>
      <c r="T15" s="30"/>
      <c r="U15" s="79"/>
      <c r="V15" s="79"/>
      <c r="W15" s="79"/>
      <c r="X15" s="80"/>
      <c r="Y15" s="275"/>
      <c r="Z15" s="30"/>
      <c r="AA15" s="79"/>
      <c r="AB15" s="79"/>
      <c r="AC15" s="80"/>
      <c r="AD15" s="30"/>
      <c r="AE15" s="80"/>
      <c r="AF15" s="30"/>
      <c r="AG15" s="79"/>
      <c r="AH15" s="79"/>
      <c r="AI15" s="79"/>
      <c r="AJ15" s="79"/>
      <c r="AK15" s="80"/>
      <c r="AL15" s="30"/>
      <c r="AM15" s="79"/>
      <c r="AN15" s="79"/>
      <c r="AO15" s="80"/>
      <c r="AP15" s="30"/>
      <c r="AQ15" s="80"/>
      <c r="AR15" s="30"/>
      <c r="AS15" s="79"/>
      <c r="AT15" s="79"/>
      <c r="AU15" s="79"/>
      <c r="AV15" s="79"/>
      <c r="AW15" s="80"/>
      <c r="AX15" s="30"/>
      <c r="AY15" s="79"/>
      <c r="AZ15" s="79"/>
      <c r="BA15" s="79"/>
      <c r="BB15" s="79"/>
      <c r="BC15" s="80"/>
      <c r="BD15" s="30"/>
      <c r="BE15" s="79"/>
      <c r="BF15" s="79"/>
      <c r="BG15" s="80"/>
    </row>
    <row r="16" spans="1:59" x14ac:dyDescent="0.2">
      <c r="A16" s="14" t="s">
        <v>50</v>
      </c>
      <c r="B16" s="31">
        <f t="shared" si="0"/>
        <v>22499315.977498103</v>
      </c>
      <c r="C16" s="31">
        <f>SUM(C12:C15)</f>
        <v>-6463994.9400000004</v>
      </c>
      <c r="D16" s="81">
        <f>SUM(D12:D15)</f>
        <v>29321396.810773376</v>
      </c>
      <c r="E16" s="81">
        <f>SUM(E13:E15)</f>
        <v>-105882.16327527266</v>
      </c>
      <c r="F16" s="82">
        <f>SUM(F12:F14)</f>
        <v>0</v>
      </c>
      <c r="G16" s="151">
        <f>SUM(G12:G15)</f>
        <v>0</v>
      </c>
      <c r="H16" s="31">
        <f>SUM(H12:H15)</f>
        <v>0</v>
      </c>
      <c r="I16" s="81">
        <f>SUM(I12:I15)</f>
        <v>0</v>
      </c>
      <c r="J16" s="81">
        <f>SUM(J12:J15)</f>
        <v>0</v>
      </c>
      <c r="K16" s="81">
        <f t="shared" ref="K16:L16" si="1">SUM(K12:K15)</f>
        <v>0</v>
      </c>
      <c r="L16" s="81">
        <f t="shared" si="1"/>
        <v>0</v>
      </c>
      <c r="M16" s="82">
        <f>SUM(M12:M15)</f>
        <v>0</v>
      </c>
      <c r="N16" s="31">
        <f>SUM(N12:N15)</f>
        <v>0</v>
      </c>
      <c r="O16" s="81">
        <f t="shared" ref="O16:R16" si="2">SUM(O12:O15)</f>
        <v>0</v>
      </c>
      <c r="P16" s="81">
        <f t="shared" si="2"/>
        <v>-252203.73</v>
      </c>
      <c r="Q16" s="81">
        <f t="shared" si="2"/>
        <v>0</v>
      </c>
      <c r="R16" s="81">
        <f t="shared" si="2"/>
        <v>0</v>
      </c>
      <c r="S16" s="82">
        <f t="shared" ref="S16:X16" si="3">SUM(S12:S15)</f>
        <v>0</v>
      </c>
      <c r="T16" s="31">
        <f t="shared" si="3"/>
        <v>0</v>
      </c>
      <c r="U16" s="81">
        <f t="shared" si="3"/>
        <v>0</v>
      </c>
      <c r="V16" s="81">
        <f t="shared" si="3"/>
        <v>0</v>
      </c>
      <c r="W16" s="81">
        <f t="shared" si="3"/>
        <v>0</v>
      </c>
      <c r="X16" s="82">
        <f t="shared" si="3"/>
        <v>0</v>
      </c>
      <c r="Y16" s="151">
        <f t="shared" ref="Y16:Z16" si="4">SUM(Y12:Y15)</f>
        <v>0</v>
      </c>
      <c r="Z16" s="31">
        <f t="shared" si="4"/>
        <v>0</v>
      </c>
      <c r="AA16" s="81">
        <f t="shared" ref="AA16" si="5">SUM(AA12:AA15)</f>
        <v>0</v>
      </c>
      <c r="AB16" s="81">
        <f t="shared" ref="AB16:AC16" si="6">SUM(AB12:AB15)</f>
        <v>0</v>
      </c>
      <c r="AC16" s="82">
        <f t="shared" si="6"/>
        <v>0</v>
      </c>
      <c r="AD16" s="31">
        <f>SUM(AD12:AD15)</f>
        <v>0</v>
      </c>
      <c r="AE16" s="82">
        <f t="shared" ref="AE16" si="7">SUM(AE12:AE15)</f>
        <v>0</v>
      </c>
      <c r="AF16" s="31">
        <f>SUM(AF12:AF15)</f>
        <v>0</v>
      </c>
      <c r="AG16" s="81">
        <f t="shared" ref="AG16" si="8">SUM(AG12:AG15)</f>
        <v>0</v>
      </c>
      <c r="AH16" s="81">
        <f>SUM(AH12:AH15)</f>
        <v>0</v>
      </c>
      <c r="AI16" s="81">
        <f>SUM(AI12:AI15)</f>
        <v>0</v>
      </c>
      <c r="AJ16" s="81">
        <f t="shared" ref="AJ16" si="9">SUM(AJ12:AJ15)</f>
        <v>0</v>
      </c>
      <c r="AK16" s="82">
        <f t="shared" ref="AK16" si="10">SUM(AK12:AK15)</f>
        <v>0</v>
      </c>
      <c r="AL16" s="31">
        <f t="shared" ref="AL16:AM16" si="11">SUM(AL12:AL15)</f>
        <v>0</v>
      </c>
      <c r="AM16" s="81">
        <f t="shared" si="11"/>
        <v>0</v>
      </c>
      <c r="AN16" s="81">
        <f t="shared" ref="AN16:AO16" si="12">SUM(AN12:AN15)</f>
        <v>0</v>
      </c>
      <c r="AO16" s="82">
        <f t="shared" si="12"/>
        <v>0</v>
      </c>
      <c r="AP16" s="31">
        <f>SUM(AP12:AP15)</f>
        <v>0</v>
      </c>
      <c r="AQ16" s="82">
        <f>SUM(AQ12:AQ15)</f>
        <v>0</v>
      </c>
      <c r="AR16" s="31">
        <f>SUM(AR12:AR15)</f>
        <v>0</v>
      </c>
      <c r="AS16" s="81">
        <f>SUM(AS12:AS15)</f>
        <v>0</v>
      </c>
      <c r="AT16" s="81">
        <f t="shared" ref="AT16" si="13">SUM(AT12:AT15)</f>
        <v>0</v>
      </c>
      <c r="AU16" s="81">
        <f t="shared" ref="AU16" si="14">SUM(AU12:AU15)</f>
        <v>0</v>
      </c>
      <c r="AV16" s="81">
        <f>SUM(AV12:AV15)</f>
        <v>0</v>
      </c>
      <c r="AW16" s="82">
        <f>SUM(AW12:AW15)</f>
        <v>0</v>
      </c>
      <c r="AX16" s="31">
        <f>SUM(AX12:AX15)</f>
        <v>0</v>
      </c>
      <c r="AY16" s="81">
        <f t="shared" ref="AY16" si="15">SUM(AY12:AY15)</f>
        <v>0</v>
      </c>
      <c r="AZ16" s="81">
        <f>SUM(AZ12:AZ15)</f>
        <v>0</v>
      </c>
      <c r="BA16" s="81">
        <f t="shared" ref="BA16:BB16" si="16">SUM(BA12:BA15)</f>
        <v>0</v>
      </c>
      <c r="BB16" s="81">
        <f t="shared" si="16"/>
        <v>0</v>
      </c>
      <c r="BC16" s="82">
        <f t="shared" ref="BC16" si="17">SUM(BC12:BC15)</f>
        <v>0</v>
      </c>
      <c r="BD16" s="31">
        <f t="shared" ref="BD16:BG16" si="18">SUM(BD12:BD15)</f>
        <v>0</v>
      </c>
      <c r="BE16" s="81">
        <f t="shared" si="18"/>
        <v>0</v>
      </c>
      <c r="BF16" s="81">
        <f t="shared" si="18"/>
        <v>0</v>
      </c>
      <c r="BG16" s="82">
        <f t="shared" si="18"/>
        <v>0</v>
      </c>
    </row>
    <row r="17" spans="1:59" x14ac:dyDescent="0.2">
      <c r="A17" s="14"/>
      <c r="B17" s="28"/>
      <c r="C17" s="28"/>
      <c r="D17" s="12"/>
      <c r="E17" s="12"/>
      <c r="F17" s="75"/>
      <c r="G17" s="76"/>
      <c r="H17" s="28"/>
      <c r="I17" s="12"/>
      <c r="J17" s="12"/>
      <c r="K17" s="12"/>
      <c r="L17" s="12"/>
      <c r="M17" s="75"/>
      <c r="N17" s="28"/>
      <c r="O17" s="12"/>
      <c r="P17" s="12"/>
      <c r="Q17" s="12"/>
      <c r="R17" s="12"/>
      <c r="S17" s="75"/>
      <c r="T17" s="28"/>
      <c r="U17" s="12"/>
      <c r="V17" s="12"/>
      <c r="W17" s="12"/>
      <c r="X17" s="75"/>
      <c r="Y17" s="76"/>
      <c r="Z17" s="28"/>
      <c r="AA17" s="12"/>
      <c r="AB17" s="12"/>
      <c r="AC17" s="75"/>
      <c r="AD17" s="28"/>
      <c r="AE17" s="75"/>
      <c r="AF17" s="28"/>
      <c r="AG17" s="12"/>
      <c r="AH17" s="12"/>
      <c r="AI17" s="12"/>
      <c r="AJ17" s="12"/>
      <c r="AK17" s="75"/>
      <c r="AL17" s="28"/>
      <c r="AM17" s="12"/>
      <c r="AN17" s="12"/>
      <c r="AO17" s="75"/>
      <c r="AP17" s="28"/>
      <c r="AQ17" s="75"/>
      <c r="AR17" s="28"/>
      <c r="AS17" s="12"/>
      <c r="AT17" s="12"/>
      <c r="AU17" s="12"/>
      <c r="AV17" s="12"/>
      <c r="AW17" s="75"/>
      <c r="AX17" s="28"/>
      <c r="AY17" s="12"/>
      <c r="AZ17" s="12"/>
      <c r="BA17" s="12"/>
      <c r="BB17" s="12"/>
      <c r="BC17" s="75"/>
      <c r="BD17" s="28"/>
      <c r="BE17" s="12"/>
      <c r="BF17" s="12"/>
      <c r="BG17" s="75"/>
    </row>
    <row r="18" spans="1:59" x14ac:dyDescent="0.2">
      <c r="A18" s="14" t="s">
        <v>51</v>
      </c>
      <c r="B18" s="28"/>
      <c r="C18" s="28"/>
      <c r="D18" s="12"/>
      <c r="E18" s="12"/>
      <c r="F18" s="75"/>
      <c r="G18" s="76"/>
      <c r="H18" s="28"/>
      <c r="I18" s="12"/>
      <c r="J18" s="12"/>
      <c r="K18" s="12"/>
      <c r="L18" s="12"/>
      <c r="M18" s="75"/>
      <c r="N18" s="28"/>
      <c r="O18" s="12"/>
      <c r="P18" s="12"/>
      <c r="Q18" s="12"/>
      <c r="R18" s="12"/>
      <c r="S18" s="75"/>
      <c r="T18" s="28"/>
      <c r="U18" s="12"/>
      <c r="V18" s="12"/>
      <c r="W18" s="12"/>
      <c r="X18" s="75"/>
      <c r="Y18" s="76"/>
      <c r="Z18" s="28"/>
      <c r="AA18" s="12"/>
      <c r="AB18" s="12"/>
      <c r="AC18" s="75"/>
      <c r="AD18" s="28"/>
      <c r="AE18" s="75"/>
      <c r="AF18" s="28"/>
      <c r="AG18" s="12"/>
      <c r="AH18" s="12"/>
      <c r="AI18" s="12"/>
      <c r="AJ18" s="12"/>
      <c r="AK18" s="75"/>
      <c r="AL18" s="28"/>
      <c r="AM18" s="12"/>
      <c r="AN18" s="12"/>
      <c r="AO18" s="75"/>
      <c r="AP18" s="28"/>
      <c r="AQ18" s="75"/>
      <c r="AR18" s="28"/>
      <c r="AS18" s="12"/>
      <c r="AT18" s="12"/>
      <c r="AU18" s="12"/>
      <c r="AV18" s="12"/>
      <c r="AW18" s="75"/>
      <c r="AX18" s="28"/>
      <c r="AY18" s="12"/>
      <c r="AZ18" s="12"/>
      <c r="BA18" s="12"/>
      <c r="BB18" s="12"/>
      <c r="BC18" s="75"/>
      <c r="BD18" s="28"/>
      <c r="BE18" s="12"/>
      <c r="BF18" s="12"/>
      <c r="BG18" s="75"/>
    </row>
    <row r="19" spans="1:59" x14ac:dyDescent="0.2">
      <c r="A19" s="14" t="s">
        <v>52</v>
      </c>
      <c r="B19" s="29">
        <f t="shared" ref="B19:B38" si="19">SUM(C19:BG19)</f>
        <v>-497998.15233261522</v>
      </c>
      <c r="C19" s="30"/>
      <c r="D19" s="79"/>
      <c r="E19" s="79"/>
      <c r="F19" s="80"/>
      <c r="G19" s="275"/>
      <c r="H19" s="30">
        <f>SUM('[6]Page 4.2'!$I$11:$I$14,'[6]Page 4.2'!$I$30:$I$31)</f>
        <v>31038.910210584381</v>
      </c>
      <c r="I19" s="79"/>
      <c r="J19" s="79"/>
      <c r="K19" s="79"/>
      <c r="L19" s="79"/>
      <c r="M19" s="80"/>
      <c r="N19" s="30"/>
      <c r="O19" s="79"/>
      <c r="P19" s="79">
        <f>'[4]Page 4.10'!$I$19</f>
        <v>0</v>
      </c>
      <c r="Q19" s="79"/>
      <c r="R19" s="79"/>
      <c r="S19" s="80"/>
      <c r="T19" s="30"/>
      <c r="U19" s="79"/>
      <c r="V19" s="79">
        <f>SUM('[7]Page 5.3'!$I$15:$I$26)</f>
        <v>-529037.06254319963</v>
      </c>
      <c r="W19" s="79"/>
      <c r="X19" s="80"/>
      <c r="Y19" s="275"/>
      <c r="Z19" s="30"/>
      <c r="AA19" s="79"/>
      <c r="AB19" s="79"/>
      <c r="AC19" s="80"/>
      <c r="AD19" s="30"/>
      <c r="AE19" s="80"/>
      <c r="AF19" s="30"/>
      <c r="AG19" s="79"/>
      <c r="AH19" s="79"/>
      <c r="AI19" s="79"/>
      <c r="AJ19" s="79"/>
      <c r="AK19" s="80"/>
      <c r="AL19" s="30"/>
      <c r="AM19" s="79"/>
      <c r="AN19" s="79"/>
      <c r="AO19" s="80"/>
      <c r="AP19" s="30"/>
      <c r="AQ19" s="80"/>
      <c r="AR19" s="30"/>
      <c r="AS19" s="79"/>
      <c r="AT19" s="79"/>
      <c r="AU19" s="79"/>
      <c r="AV19" s="79"/>
      <c r="AW19" s="80"/>
      <c r="AX19" s="30"/>
      <c r="AY19" s="79"/>
      <c r="AZ19" s="79"/>
      <c r="BA19" s="79"/>
      <c r="BB19" s="79"/>
      <c r="BC19" s="80"/>
      <c r="BD19" s="30"/>
      <c r="BE19" s="79"/>
      <c r="BF19" s="79"/>
      <c r="BG19" s="80"/>
    </row>
    <row r="20" spans="1:59" x14ac:dyDescent="0.2">
      <c r="A20" s="14" t="s">
        <v>53</v>
      </c>
      <c r="B20" s="29">
        <f t="shared" si="19"/>
        <v>0</v>
      </c>
      <c r="C20" s="30"/>
      <c r="D20" s="79"/>
      <c r="E20" s="79"/>
      <c r="F20" s="80"/>
      <c r="G20" s="275"/>
      <c r="H20" s="30"/>
      <c r="I20" s="79"/>
      <c r="J20" s="79"/>
      <c r="K20" s="79"/>
      <c r="L20" s="79"/>
      <c r="M20" s="80"/>
      <c r="N20" s="30"/>
      <c r="O20" s="79"/>
      <c r="P20" s="79"/>
      <c r="Q20" s="79"/>
      <c r="R20" s="79"/>
      <c r="S20" s="80"/>
      <c r="T20" s="30"/>
      <c r="U20" s="79"/>
      <c r="V20" s="79"/>
      <c r="W20" s="79"/>
      <c r="X20" s="80"/>
      <c r="Y20" s="275"/>
      <c r="Z20" s="30"/>
      <c r="AA20" s="79"/>
      <c r="AB20" s="79"/>
      <c r="AC20" s="80"/>
      <c r="AD20" s="30"/>
      <c r="AE20" s="80"/>
      <c r="AF20" s="30"/>
      <c r="AG20" s="79"/>
      <c r="AH20" s="79"/>
      <c r="AI20" s="79"/>
      <c r="AJ20" s="79"/>
      <c r="AK20" s="80"/>
      <c r="AL20" s="30"/>
      <c r="AM20" s="79"/>
      <c r="AN20" s="79"/>
      <c r="AO20" s="80"/>
      <c r="AP20" s="30"/>
      <c r="AQ20" s="80"/>
      <c r="AR20" s="30"/>
      <c r="AS20" s="79"/>
      <c r="AT20" s="79"/>
      <c r="AU20" s="79"/>
      <c r="AV20" s="79"/>
      <c r="AW20" s="80"/>
      <c r="AX20" s="30"/>
      <c r="AY20" s="79"/>
      <c r="AZ20" s="79"/>
      <c r="BA20" s="79"/>
      <c r="BB20" s="79"/>
      <c r="BC20" s="80"/>
      <c r="BD20" s="30"/>
      <c r="BE20" s="79"/>
      <c r="BF20" s="79"/>
      <c r="BG20" s="80"/>
    </row>
    <row r="21" spans="1:59" x14ac:dyDescent="0.2">
      <c r="A21" s="14" t="s">
        <v>54</v>
      </c>
      <c r="B21" s="29">
        <f t="shared" si="19"/>
        <v>19916.905241114458</v>
      </c>
      <c r="C21" s="30"/>
      <c r="D21" s="79"/>
      <c r="E21" s="79"/>
      <c r="F21" s="80"/>
      <c r="G21" s="275"/>
      <c r="H21" s="30">
        <f>SUM('[6]Page 4.2'!$I$16:$I$17,'[6]Page 4.2'!$I$32:$I$33)</f>
        <v>19916.905241114458</v>
      </c>
      <c r="I21" s="79"/>
      <c r="J21" s="79"/>
      <c r="K21" s="79"/>
      <c r="L21" s="79"/>
      <c r="M21" s="80"/>
      <c r="N21" s="30"/>
      <c r="O21" s="79"/>
      <c r="P21" s="79"/>
      <c r="Q21" s="79"/>
      <c r="R21" s="79"/>
      <c r="S21" s="80"/>
      <c r="T21" s="30"/>
      <c r="U21" s="79"/>
      <c r="V21" s="79"/>
      <c r="W21" s="79"/>
      <c r="X21" s="80"/>
      <c r="Y21" s="275"/>
      <c r="Z21" s="30"/>
      <c r="AA21" s="79"/>
      <c r="AB21" s="79"/>
      <c r="AC21" s="80"/>
      <c r="AD21" s="30"/>
      <c r="AE21" s="80"/>
      <c r="AF21" s="30"/>
      <c r="AG21" s="79"/>
      <c r="AH21" s="79"/>
      <c r="AI21" s="79"/>
      <c r="AJ21" s="79"/>
      <c r="AK21" s="80"/>
      <c r="AL21" s="30"/>
      <c r="AM21" s="79"/>
      <c r="AN21" s="79"/>
      <c r="AO21" s="80"/>
      <c r="AP21" s="30"/>
      <c r="AQ21" s="80"/>
      <c r="AR21" s="30"/>
      <c r="AS21" s="79"/>
      <c r="AT21" s="79"/>
      <c r="AU21" s="79"/>
      <c r="AV21" s="79"/>
      <c r="AW21" s="80"/>
      <c r="AX21" s="30"/>
      <c r="AY21" s="79"/>
      <c r="AZ21" s="79"/>
      <c r="BA21" s="79"/>
      <c r="BB21" s="79"/>
      <c r="BC21" s="80"/>
      <c r="BD21" s="30"/>
      <c r="BE21" s="79"/>
      <c r="BF21" s="79"/>
      <c r="BG21" s="80"/>
    </row>
    <row r="22" spans="1:59" x14ac:dyDescent="0.2">
      <c r="A22" s="14" t="s">
        <v>55</v>
      </c>
      <c r="B22" s="29">
        <f t="shared" si="19"/>
        <v>-5518909.259914171</v>
      </c>
      <c r="C22" s="30"/>
      <c r="D22" s="79"/>
      <c r="E22" s="79"/>
      <c r="F22" s="80"/>
      <c r="G22" s="275">
        <f>'[8]Page 4.1'!$I$24</f>
        <v>-403.41853329627918</v>
      </c>
      <c r="H22" s="30">
        <f>SUM('[6]Page 4.2'!$I$18:$I$21,'[6]Page 4.2'!$I$34:$I$38)</f>
        <v>19282.019845188963</v>
      </c>
      <c r="I22" s="79"/>
      <c r="J22" s="79">
        <f>'[9]Page 4.4'!$I$16</f>
        <v>40091.775593346334</v>
      </c>
      <c r="K22" s="79"/>
      <c r="L22" s="79"/>
      <c r="M22" s="80"/>
      <c r="N22" s="30">
        <f>SUM('[10]Page 4.8'!$I$10:$I$17)</f>
        <v>97751.513517230647</v>
      </c>
      <c r="O22" s="79"/>
      <c r="P22" s="79"/>
      <c r="Q22" s="79"/>
      <c r="R22" s="79"/>
      <c r="S22" s="80"/>
      <c r="T22" s="30">
        <f>'[11]Page 5.1'!$I$21</f>
        <v>-5675631.1503366409</v>
      </c>
      <c r="U22" s="79"/>
      <c r="V22" s="79"/>
      <c r="W22" s="79"/>
      <c r="X22" s="80"/>
      <c r="Y22" s="275"/>
      <c r="Z22" s="30"/>
      <c r="AA22" s="79"/>
      <c r="AB22" s="79"/>
      <c r="AC22" s="80"/>
      <c r="AD22" s="30"/>
      <c r="AE22" s="80"/>
      <c r="AF22" s="30"/>
      <c r="AG22" s="79"/>
      <c r="AH22" s="79"/>
      <c r="AI22" s="79"/>
      <c r="AJ22" s="79"/>
      <c r="AK22" s="80"/>
      <c r="AL22" s="30"/>
      <c r="AM22" s="79"/>
      <c r="AN22" s="79"/>
      <c r="AO22" s="80"/>
      <c r="AP22" s="30"/>
      <c r="AQ22" s="80"/>
      <c r="AR22" s="30"/>
      <c r="AS22" s="79"/>
      <c r="AT22" s="79"/>
      <c r="AU22" s="79"/>
      <c r="AV22" s="79"/>
      <c r="AW22" s="80"/>
      <c r="AX22" s="30"/>
      <c r="AY22" s="79"/>
      <c r="AZ22" s="79"/>
      <c r="BA22" s="79"/>
      <c r="BB22" s="79"/>
      <c r="BC22" s="80"/>
      <c r="BD22" s="30"/>
      <c r="BE22" s="79"/>
      <c r="BF22" s="79"/>
      <c r="BG22" s="80"/>
    </row>
    <row r="23" spans="1:59" x14ac:dyDescent="0.2">
      <c r="A23" s="14" t="s">
        <v>56</v>
      </c>
      <c r="B23" s="29">
        <f t="shared" si="19"/>
        <v>-317434.99357527972</v>
      </c>
      <c r="C23" s="30"/>
      <c r="D23" s="79"/>
      <c r="E23" s="79"/>
      <c r="F23" s="80"/>
      <c r="G23" s="275"/>
      <c r="H23" s="30">
        <f>SUM('[6]Page 4.2'!$I$22:$I$25,'[6]Page 4.2'!$I$39:$I$42)</f>
        <v>14768.667236369889</v>
      </c>
      <c r="I23" s="79"/>
      <c r="J23" s="79">
        <f>'[9]Page 4.4'!$I$14</f>
        <v>-332203.66081165004</v>
      </c>
      <c r="K23" s="79"/>
      <c r="L23" s="79"/>
      <c r="M23" s="80"/>
      <c r="N23" s="30"/>
      <c r="O23" s="79"/>
      <c r="P23" s="79"/>
      <c r="Q23" s="79"/>
      <c r="R23" s="79"/>
      <c r="S23" s="80"/>
      <c r="T23" s="30">
        <f>'[11]Page 5.1'!$I$27+'[11]Page 5.1'!$I$29</f>
        <v>4.6566128730773926E-10</v>
      </c>
      <c r="U23" s="79"/>
      <c r="V23" s="79"/>
      <c r="W23" s="79"/>
      <c r="X23" s="80"/>
      <c r="Y23" s="275"/>
      <c r="Z23" s="30"/>
      <c r="AA23" s="79"/>
      <c r="AB23" s="79"/>
      <c r="AC23" s="80"/>
      <c r="AD23" s="30"/>
      <c r="AE23" s="80"/>
      <c r="AF23" s="30"/>
      <c r="AG23" s="79"/>
      <c r="AH23" s="79"/>
      <c r="AI23" s="79"/>
      <c r="AJ23" s="79"/>
      <c r="AK23" s="80"/>
      <c r="AL23" s="30"/>
      <c r="AM23" s="79"/>
      <c r="AN23" s="79"/>
      <c r="AO23" s="80"/>
      <c r="AP23" s="30"/>
      <c r="AQ23" s="80"/>
      <c r="AR23" s="30"/>
      <c r="AS23" s="79"/>
      <c r="AT23" s="79"/>
      <c r="AU23" s="79"/>
      <c r="AV23" s="79"/>
      <c r="AW23" s="80"/>
      <c r="AX23" s="30"/>
      <c r="AY23" s="79"/>
      <c r="AZ23" s="79"/>
      <c r="BA23" s="79"/>
      <c r="BB23" s="79"/>
      <c r="BC23" s="80"/>
      <c r="BD23" s="30"/>
      <c r="BE23" s="79"/>
      <c r="BF23" s="79"/>
      <c r="BG23" s="80"/>
    </row>
    <row r="24" spans="1:59" x14ac:dyDescent="0.2">
      <c r="A24" s="14" t="s">
        <v>57</v>
      </c>
      <c r="B24" s="29">
        <f t="shared" si="19"/>
        <v>219958.42013111283</v>
      </c>
      <c r="C24" s="30"/>
      <c r="D24" s="79"/>
      <c r="E24" s="79"/>
      <c r="F24" s="80"/>
      <c r="G24" s="275"/>
      <c r="H24" s="30">
        <f>SUM('[6]Page 4.2'!$I$26:$I$27,'[6]Page 4.2'!$I$43:$I$44)</f>
        <v>50265.287508637768</v>
      </c>
      <c r="I24" s="79"/>
      <c r="J24" s="79">
        <f>'[9]Page 4.4'!$I$15</f>
        <v>169938.45711545565</v>
      </c>
      <c r="K24" s="79"/>
      <c r="L24" s="79"/>
      <c r="M24" s="80"/>
      <c r="N24" s="30">
        <f>SUM('[10]Page 4.8'!$I$18:$I$19)</f>
        <v>-245.32449298058287</v>
      </c>
      <c r="O24" s="79"/>
      <c r="P24" s="79"/>
      <c r="Q24" s="79"/>
      <c r="R24" s="79"/>
      <c r="S24" s="80"/>
      <c r="T24" s="30"/>
      <c r="U24" s="79"/>
      <c r="V24" s="79"/>
      <c r="W24" s="79"/>
      <c r="X24" s="80"/>
      <c r="Y24" s="275"/>
      <c r="Z24" s="30"/>
      <c r="AA24" s="79"/>
      <c r="AB24" s="79"/>
      <c r="AC24" s="80"/>
      <c r="AD24" s="30"/>
      <c r="AE24" s="80"/>
      <c r="AF24" s="30"/>
      <c r="AG24" s="79"/>
      <c r="AH24" s="79"/>
      <c r="AI24" s="79"/>
      <c r="AJ24" s="79"/>
      <c r="AK24" s="80"/>
      <c r="AL24" s="30"/>
      <c r="AM24" s="79"/>
      <c r="AN24" s="79"/>
      <c r="AO24" s="80"/>
      <c r="AP24" s="30"/>
      <c r="AQ24" s="80"/>
      <c r="AR24" s="30"/>
      <c r="AS24" s="79"/>
      <c r="AT24" s="79"/>
      <c r="AU24" s="79"/>
      <c r="AV24" s="79"/>
      <c r="AW24" s="80"/>
      <c r="AX24" s="30"/>
      <c r="AY24" s="79"/>
      <c r="AZ24" s="79"/>
      <c r="BA24" s="79"/>
      <c r="BB24" s="79"/>
      <c r="BC24" s="80"/>
      <c r="BD24" s="30"/>
      <c r="BE24" s="79"/>
      <c r="BF24" s="79"/>
      <c r="BG24" s="80"/>
    </row>
    <row r="25" spans="1:59" x14ac:dyDescent="0.2">
      <c r="A25" s="14" t="s">
        <v>58</v>
      </c>
      <c r="B25" s="29">
        <f t="shared" si="19"/>
        <v>100459.48209091679</v>
      </c>
      <c r="C25" s="30"/>
      <c r="D25" s="79"/>
      <c r="E25" s="79"/>
      <c r="F25" s="80"/>
      <c r="G25" s="275">
        <f>'[8]Page 4.1'!$I$25</f>
        <v>-304.45544521771291</v>
      </c>
      <c r="H25" s="30">
        <f>SUM('[6]Page 4.2'!$I$45:$I$46)</f>
        <v>18266.569123739817</v>
      </c>
      <c r="I25" s="79"/>
      <c r="J25" s="79"/>
      <c r="K25" s="79"/>
      <c r="L25" s="79"/>
      <c r="M25" s="80">
        <f>'[12]Page 4.7'!$I$9</f>
        <v>62258.880074109882</v>
      </c>
      <c r="N25" s="30">
        <f>SUM('[10]Page 4.8'!$I$20:$I$23)</f>
        <v>20238.488338284809</v>
      </c>
      <c r="O25" s="79"/>
      <c r="P25" s="79"/>
      <c r="Q25" s="79"/>
      <c r="R25" s="79"/>
      <c r="S25" s="80"/>
      <c r="T25" s="30"/>
      <c r="U25" s="79"/>
      <c r="V25" s="79"/>
      <c r="W25" s="79"/>
      <c r="X25" s="80"/>
      <c r="Y25" s="275"/>
      <c r="Z25" s="30"/>
      <c r="AA25" s="79"/>
      <c r="AB25" s="79"/>
      <c r="AC25" s="80"/>
      <c r="AD25" s="30"/>
      <c r="AE25" s="80"/>
      <c r="AF25" s="30"/>
      <c r="AG25" s="79"/>
      <c r="AH25" s="79"/>
      <c r="AI25" s="79"/>
      <c r="AJ25" s="79"/>
      <c r="AK25" s="80"/>
      <c r="AL25" s="30"/>
      <c r="AM25" s="79"/>
      <c r="AN25" s="79"/>
      <c r="AO25" s="80"/>
      <c r="AP25" s="30"/>
      <c r="AQ25" s="80"/>
      <c r="AR25" s="30"/>
      <c r="AS25" s="79"/>
      <c r="AT25" s="79"/>
      <c r="AU25" s="79"/>
      <c r="AV25" s="79"/>
      <c r="AW25" s="80"/>
      <c r="AX25" s="30"/>
      <c r="AY25" s="79"/>
      <c r="AZ25" s="79"/>
      <c r="BA25" s="79"/>
      <c r="BB25" s="79"/>
      <c r="BC25" s="80"/>
      <c r="BD25" s="30"/>
      <c r="BE25" s="79"/>
      <c r="BF25" s="79"/>
      <c r="BG25" s="80"/>
    </row>
    <row r="26" spans="1:59" x14ac:dyDescent="0.2">
      <c r="A26" s="14" t="s">
        <v>59</v>
      </c>
      <c r="B26" s="29">
        <f t="shared" si="19"/>
        <v>6542.2769399854187</v>
      </c>
      <c r="C26" s="30"/>
      <c r="D26" s="79"/>
      <c r="E26" s="79"/>
      <c r="F26" s="80"/>
      <c r="G26" s="275">
        <f>SUM('[8]Page 4.1'!$I$27:$I$33)</f>
        <v>13145.606737896598</v>
      </c>
      <c r="H26" s="30">
        <f>SUM('[6]Page 4.2'!$I$47:$I$49)</f>
        <v>3543.5012517468617</v>
      </c>
      <c r="I26" s="79"/>
      <c r="J26" s="79"/>
      <c r="K26" s="79">
        <f>SUM('[13]Page 4.5'!$I$11,'[13]Page 4.5'!$I$13:$I$20)</f>
        <v>-10146.831049658042</v>
      </c>
      <c r="L26" s="79"/>
      <c r="M26" s="80"/>
      <c r="N26" s="30"/>
      <c r="O26" s="79"/>
      <c r="P26" s="79"/>
      <c r="Q26" s="79"/>
      <c r="R26" s="79"/>
      <c r="S26" s="80"/>
      <c r="T26" s="30"/>
      <c r="U26" s="79"/>
      <c r="V26" s="79"/>
      <c r="W26" s="79"/>
      <c r="X26" s="80"/>
      <c r="Y26" s="275"/>
      <c r="Z26" s="30"/>
      <c r="AA26" s="79"/>
      <c r="AB26" s="79"/>
      <c r="AC26" s="80"/>
      <c r="AD26" s="30"/>
      <c r="AE26" s="80"/>
      <c r="AF26" s="30"/>
      <c r="AG26" s="79"/>
      <c r="AH26" s="79"/>
      <c r="AI26" s="79"/>
      <c r="AJ26" s="79"/>
      <c r="AK26" s="80"/>
      <c r="AL26" s="30"/>
      <c r="AM26" s="79"/>
      <c r="AN26" s="79"/>
      <c r="AO26" s="80"/>
      <c r="AP26" s="30"/>
      <c r="AQ26" s="80"/>
      <c r="AR26" s="30"/>
      <c r="AS26" s="79"/>
      <c r="AT26" s="79"/>
      <c r="AU26" s="79"/>
      <c r="AV26" s="79"/>
      <c r="AW26" s="80"/>
      <c r="AX26" s="30"/>
      <c r="AY26" s="79"/>
      <c r="AZ26" s="79"/>
      <c r="BA26" s="79"/>
      <c r="BB26" s="79"/>
      <c r="BC26" s="80"/>
      <c r="BD26" s="30"/>
      <c r="BE26" s="79"/>
      <c r="BF26" s="79"/>
      <c r="BG26" s="80"/>
    </row>
    <row r="27" spans="1:59" x14ac:dyDescent="0.2">
      <c r="A27" s="14" t="s">
        <v>60</v>
      </c>
      <c r="B27" s="29">
        <f t="shared" si="19"/>
        <v>0</v>
      </c>
      <c r="C27" s="30"/>
      <c r="D27" s="79"/>
      <c r="E27" s="79"/>
      <c r="F27" s="80"/>
      <c r="G27" s="275"/>
      <c r="H27" s="30"/>
      <c r="I27" s="79"/>
      <c r="J27" s="79"/>
      <c r="K27" s="79"/>
      <c r="L27" s="79"/>
      <c r="M27" s="80"/>
      <c r="N27" s="30"/>
      <c r="O27" s="79"/>
      <c r="P27" s="79"/>
      <c r="Q27" s="79"/>
      <c r="R27" s="79"/>
      <c r="S27" s="80"/>
      <c r="T27" s="30"/>
      <c r="U27" s="79"/>
      <c r="V27" s="79"/>
      <c r="W27" s="79"/>
      <c r="X27" s="80"/>
      <c r="Y27" s="275"/>
      <c r="Z27" s="30"/>
      <c r="AA27" s="79"/>
      <c r="AB27" s="79"/>
      <c r="AC27" s="80"/>
      <c r="AD27" s="30"/>
      <c r="AE27" s="80"/>
      <c r="AF27" s="30"/>
      <c r="AG27" s="79"/>
      <c r="AH27" s="79"/>
      <c r="AI27" s="79"/>
      <c r="AJ27" s="79"/>
      <c r="AK27" s="80"/>
      <c r="AL27" s="30"/>
      <c r="AM27" s="79"/>
      <c r="AN27" s="79"/>
      <c r="AO27" s="80"/>
      <c r="AP27" s="30"/>
      <c r="AQ27" s="80"/>
      <c r="AR27" s="30"/>
      <c r="AS27" s="79"/>
      <c r="AT27" s="79"/>
      <c r="AU27" s="79"/>
      <c r="AV27" s="79"/>
      <c r="AW27" s="80"/>
      <c r="AX27" s="30"/>
      <c r="AY27" s="79"/>
      <c r="AZ27" s="79"/>
      <c r="BA27" s="79"/>
      <c r="BB27" s="79"/>
      <c r="BC27" s="80"/>
      <c r="BD27" s="30"/>
      <c r="BE27" s="79"/>
      <c r="BF27" s="79"/>
      <c r="BG27" s="80"/>
    </row>
    <row r="28" spans="1:59" x14ac:dyDescent="0.2">
      <c r="A28" s="14" t="s">
        <v>61</v>
      </c>
      <c r="B28" s="29">
        <f t="shared" si="19"/>
        <v>-15118.422651971403</v>
      </c>
      <c r="C28" s="32"/>
      <c r="D28" s="84"/>
      <c r="E28" s="84"/>
      <c r="F28" s="86"/>
      <c r="G28" s="276">
        <f>SUM('[8]Page 4.1'!$I$34:$I$43)</f>
        <v>-3458.706204401773</v>
      </c>
      <c r="H28" s="32">
        <f>SUM('[6]Page 4.2'!$I$28:$I$29,'[6]Page 4.2'!$I$50:$I$51)</f>
        <v>20868.075378978294</v>
      </c>
      <c r="I28" s="84"/>
      <c r="J28" s="84">
        <f>'[9]Page 4.4'!$I$11</f>
        <v>-536813.79741002049</v>
      </c>
      <c r="K28" s="84">
        <f>SUM('[13]Page 4.5'!$I$12,'[13]Page 4.5'!$I$21:$I$22)</f>
        <v>-2853.9386865947185</v>
      </c>
      <c r="L28" s="84">
        <f>'[14]Page 4.6'!$I$25</f>
        <v>15875.448713248625</v>
      </c>
      <c r="M28" s="86"/>
      <c r="N28" s="32">
        <f>SUM('[10]Page 4.8'!$I$24:$I$44)</f>
        <v>-78806.772445234805</v>
      </c>
      <c r="O28" s="84"/>
      <c r="P28" s="84"/>
      <c r="Q28" s="84">
        <f>'[15]Page 4.11'!$I$13</f>
        <v>438379.12901055615</v>
      </c>
      <c r="R28" s="84">
        <f>'[16]Page 4.12'!$I$10</f>
        <v>101625.68393873476</v>
      </c>
      <c r="S28" s="86">
        <f>SUM('[17]Page 4.13'!$I$11:$I$12)</f>
        <v>34081.323836391755</v>
      </c>
      <c r="T28" s="32"/>
      <c r="U28" s="84"/>
      <c r="V28" s="84">
        <f>SUM('[7]Page 5.3'!$I$27:$I$28)</f>
        <v>-4014.8687836292347</v>
      </c>
      <c r="W28" s="84"/>
      <c r="X28" s="86"/>
      <c r="Y28" s="276"/>
      <c r="Z28" s="32"/>
      <c r="AA28" s="84"/>
      <c r="AB28" s="84"/>
      <c r="AC28" s="86"/>
      <c r="AD28" s="32"/>
      <c r="AE28" s="86"/>
      <c r="AF28" s="32"/>
      <c r="AG28" s="84"/>
      <c r="AH28" s="84"/>
      <c r="AI28" s="84"/>
      <c r="AJ28" s="84"/>
      <c r="AK28" s="86"/>
      <c r="AL28" s="32"/>
      <c r="AM28" s="84"/>
      <c r="AN28" s="84"/>
      <c r="AO28" s="86"/>
      <c r="AP28" s="32"/>
      <c r="AQ28" s="86"/>
      <c r="AR28" s="32"/>
      <c r="AS28" s="84"/>
      <c r="AT28" s="84"/>
      <c r="AU28" s="84"/>
      <c r="AV28" s="84"/>
      <c r="AW28" s="86"/>
      <c r="AX28" s="32"/>
      <c r="AY28" s="84"/>
      <c r="AZ28" s="84"/>
      <c r="BA28" s="84"/>
      <c r="BB28" s="84"/>
      <c r="BC28" s="86"/>
      <c r="BD28" s="32"/>
      <c r="BE28" s="84"/>
      <c r="BF28" s="84"/>
      <c r="BG28" s="86"/>
    </row>
    <row r="29" spans="1:59" x14ac:dyDescent="0.2">
      <c r="A29" s="14" t="s">
        <v>62</v>
      </c>
      <c r="B29" s="270">
        <f t="shared" si="19"/>
        <v>-6002583.7440709071</v>
      </c>
      <c r="C29" s="28">
        <f>SUM(C19:C28)</f>
        <v>0</v>
      </c>
      <c r="D29" s="12">
        <f>SUM(D19:D28)</f>
        <v>0</v>
      </c>
      <c r="E29" s="12">
        <f t="shared" ref="E29" si="20">SUM(E19:E28)</f>
        <v>0</v>
      </c>
      <c r="F29" s="75">
        <f>SUM(F19:F28)</f>
        <v>0</v>
      </c>
      <c r="G29" s="76">
        <f>SUM(G19:G28)</f>
        <v>8979.0265549808337</v>
      </c>
      <c r="H29" s="28">
        <f>SUM(H19:H28)</f>
        <v>177949.93579636046</v>
      </c>
      <c r="I29" s="12">
        <f>SUM(I19:I28)</f>
        <v>0</v>
      </c>
      <c r="J29" s="12">
        <f>SUM(J19:J28)</f>
        <v>-658987.22551286849</v>
      </c>
      <c r="K29" s="12">
        <f t="shared" ref="K29:L29" si="21">SUM(K19:K28)</f>
        <v>-13000.76973625276</v>
      </c>
      <c r="L29" s="12">
        <f t="shared" si="21"/>
        <v>15875.448713248625</v>
      </c>
      <c r="M29" s="75">
        <f>SUM(M19:M28)</f>
        <v>62258.880074109882</v>
      </c>
      <c r="N29" s="28">
        <f>SUM(N19:N28)</f>
        <v>38937.904917300068</v>
      </c>
      <c r="O29" s="12">
        <f t="shared" ref="O29:R29" si="22">SUM(O19:O28)</f>
        <v>0</v>
      </c>
      <c r="P29" s="12">
        <f t="shared" si="22"/>
        <v>0</v>
      </c>
      <c r="Q29" s="12">
        <f t="shared" si="22"/>
        <v>438379.12901055615</v>
      </c>
      <c r="R29" s="12">
        <f t="shared" si="22"/>
        <v>101625.68393873476</v>
      </c>
      <c r="S29" s="75">
        <f t="shared" ref="S29:AB29" si="23">SUM(S19:S28)</f>
        <v>34081.323836391755</v>
      </c>
      <c r="T29" s="28">
        <f t="shared" si="23"/>
        <v>-5675631.15033664</v>
      </c>
      <c r="U29" s="12">
        <f t="shared" si="23"/>
        <v>0</v>
      </c>
      <c r="V29" s="12">
        <f t="shared" ref="V29:X29" si="24">SUM(V19:V28)</f>
        <v>-533051.9313268289</v>
      </c>
      <c r="W29" s="12">
        <f t="shared" si="24"/>
        <v>0</v>
      </c>
      <c r="X29" s="75">
        <f t="shared" si="24"/>
        <v>0</v>
      </c>
      <c r="Y29" s="76">
        <f t="shared" ref="Y29:Z29" si="25">SUM(Y19:Y28)</f>
        <v>0</v>
      </c>
      <c r="Z29" s="28">
        <f t="shared" si="25"/>
        <v>0</v>
      </c>
      <c r="AA29" s="12">
        <f t="shared" ref="AA29" si="26">SUM(AA19:AA28)</f>
        <v>0</v>
      </c>
      <c r="AB29" s="12">
        <f t="shared" si="23"/>
        <v>0</v>
      </c>
      <c r="AC29" s="75">
        <f t="shared" ref="AC29" si="27">SUM(AC19:AC28)</f>
        <v>0</v>
      </c>
      <c r="AD29" s="28">
        <f>SUM(AD19:AD28)</f>
        <v>0</v>
      </c>
      <c r="AE29" s="75">
        <f t="shared" ref="AE29" si="28">SUM(AE19:AE28)</f>
        <v>0</v>
      </c>
      <c r="AF29" s="28">
        <f>SUM(AF19:AF28)</f>
        <v>0</v>
      </c>
      <c r="AG29" s="12">
        <f t="shared" ref="AG29" si="29">SUM(AG19:AG28)</f>
        <v>0</v>
      </c>
      <c r="AH29" s="12">
        <f>SUM(AH19:AH28)</f>
        <v>0</v>
      </c>
      <c r="AI29" s="12">
        <f>SUM(AI19:AI28)</f>
        <v>0</v>
      </c>
      <c r="AJ29" s="12">
        <f t="shared" ref="AJ29" si="30">SUM(AJ19:AJ28)</f>
        <v>0</v>
      </c>
      <c r="AK29" s="75">
        <f t="shared" ref="AK29" si="31">SUM(AK19:AK28)</f>
        <v>0</v>
      </c>
      <c r="AL29" s="28">
        <f t="shared" ref="AL29:AM29" si="32">SUM(AL19:AL28)</f>
        <v>0</v>
      </c>
      <c r="AM29" s="12">
        <f t="shared" si="32"/>
        <v>0</v>
      </c>
      <c r="AN29" s="12">
        <f t="shared" ref="AN29:AO29" si="33">SUM(AN19:AN28)</f>
        <v>0</v>
      </c>
      <c r="AO29" s="75">
        <f t="shared" si="33"/>
        <v>0</v>
      </c>
      <c r="AP29" s="28">
        <f>SUM(AP19:AP28)</f>
        <v>0</v>
      </c>
      <c r="AQ29" s="75">
        <f>SUM(AQ19:AQ28)</f>
        <v>0</v>
      </c>
      <c r="AR29" s="28">
        <f>SUM(AR19:AR28)</f>
        <v>0</v>
      </c>
      <c r="AS29" s="12">
        <f>SUM(AS19:AS28)</f>
        <v>0</v>
      </c>
      <c r="AT29" s="12">
        <f t="shared" ref="AT29" si="34">SUM(AT19:AT28)</f>
        <v>0</v>
      </c>
      <c r="AU29" s="12">
        <f t="shared" ref="AU29" si="35">SUM(AU19:AU28)</f>
        <v>0</v>
      </c>
      <c r="AV29" s="12">
        <f>SUM(AV19:AV28)</f>
        <v>0</v>
      </c>
      <c r="AW29" s="75">
        <f>SUM(AW19:AW28)</f>
        <v>0</v>
      </c>
      <c r="AX29" s="28">
        <f>SUM(AX19:AX28)</f>
        <v>0</v>
      </c>
      <c r="AY29" s="12">
        <f t="shared" ref="AY29" si="36">SUM(AY19:AY28)</f>
        <v>0</v>
      </c>
      <c r="AZ29" s="12">
        <f>SUM(AZ19:AZ28)</f>
        <v>0</v>
      </c>
      <c r="BA29" s="12">
        <f t="shared" ref="BA29:BB29" si="37">SUM(BA19:BA28)</f>
        <v>0</v>
      </c>
      <c r="BB29" s="12">
        <f t="shared" si="37"/>
        <v>0</v>
      </c>
      <c r="BC29" s="75">
        <f t="shared" ref="BC29" si="38">SUM(BC19:BC28)</f>
        <v>0</v>
      </c>
      <c r="BD29" s="28">
        <f t="shared" ref="BD29:BG29" si="39">SUM(BD19:BD28)</f>
        <v>0</v>
      </c>
      <c r="BE29" s="12">
        <f t="shared" si="39"/>
        <v>0</v>
      </c>
      <c r="BF29" s="12">
        <f t="shared" si="39"/>
        <v>0</v>
      </c>
      <c r="BG29" s="75">
        <f t="shared" si="39"/>
        <v>0</v>
      </c>
    </row>
    <row r="30" spans="1:59" x14ac:dyDescent="0.2">
      <c r="A30" s="14" t="s">
        <v>63</v>
      </c>
      <c r="B30" s="29">
        <f t="shared" si="19"/>
        <v>-485148.8497193756</v>
      </c>
      <c r="C30" s="30"/>
      <c r="D30" s="79"/>
      <c r="E30" s="79"/>
      <c r="F30" s="80"/>
      <c r="G30" s="275">
        <f>'[8]Page 4.1'!$I$22</f>
        <v>-485148.8497193756</v>
      </c>
      <c r="H30" s="30"/>
      <c r="I30" s="79"/>
      <c r="J30" s="79"/>
      <c r="K30" s="79"/>
      <c r="L30" s="79"/>
      <c r="M30" s="80"/>
      <c r="N30" s="30"/>
      <c r="O30" s="79"/>
      <c r="P30" s="79"/>
      <c r="Q30" s="79"/>
      <c r="R30" s="79"/>
      <c r="S30" s="80"/>
      <c r="T30" s="30"/>
      <c r="U30" s="79"/>
      <c r="V30" s="79"/>
      <c r="W30" s="79"/>
      <c r="X30" s="80"/>
      <c r="Y30" s="275"/>
      <c r="Z30" s="30"/>
      <c r="AA30" s="79"/>
      <c r="AB30" s="79"/>
      <c r="AC30" s="80"/>
      <c r="AD30" s="30"/>
      <c r="AE30" s="80"/>
      <c r="AF30" s="30"/>
      <c r="AG30" s="79"/>
      <c r="AH30" s="79"/>
      <c r="AI30" s="79"/>
      <c r="AJ30" s="79"/>
      <c r="AK30" s="80"/>
      <c r="AL30" s="30"/>
      <c r="AM30" s="79"/>
      <c r="AN30" s="79"/>
      <c r="AO30" s="80"/>
      <c r="AP30" s="30"/>
      <c r="AQ30" s="80"/>
      <c r="AR30" s="30"/>
      <c r="AS30" s="79"/>
      <c r="AT30" s="79"/>
      <c r="AU30" s="79"/>
      <c r="AV30" s="79"/>
      <c r="AW30" s="80"/>
      <c r="AX30" s="30"/>
      <c r="AY30" s="79"/>
      <c r="AZ30" s="79"/>
      <c r="BA30" s="79"/>
      <c r="BB30" s="79"/>
      <c r="BC30" s="80"/>
      <c r="BD30" s="30"/>
      <c r="BE30" s="79"/>
      <c r="BF30" s="79"/>
      <c r="BG30" s="80"/>
    </row>
    <row r="31" spans="1:59" x14ac:dyDescent="0.2">
      <c r="A31" s="14" t="s">
        <v>64</v>
      </c>
      <c r="B31" s="29">
        <f t="shared" si="19"/>
        <v>0</v>
      </c>
      <c r="C31" s="30"/>
      <c r="D31" s="79"/>
      <c r="E31" s="79"/>
      <c r="F31" s="80"/>
      <c r="G31" s="275"/>
      <c r="H31" s="30"/>
      <c r="I31" s="79"/>
      <c r="J31" s="79"/>
      <c r="K31" s="79"/>
      <c r="L31" s="79"/>
      <c r="M31" s="80"/>
      <c r="N31" s="30"/>
      <c r="O31" s="79"/>
      <c r="P31" s="79"/>
      <c r="Q31" s="79"/>
      <c r="R31" s="79"/>
      <c r="S31" s="80"/>
      <c r="T31" s="30"/>
      <c r="U31" s="79"/>
      <c r="V31" s="79"/>
      <c r="W31" s="79"/>
      <c r="X31" s="80"/>
      <c r="Y31" s="275"/>
      <c r="Z31" s="30"/>
      <c r="AA31" s="79"/>
      <c r="AB31" s="79"/>
      <c r="AC31" s="80"/>
      <c r="AD31" s="30"/>
      <c r="AE31" s="80"/>
      <c r="AF31" s="30"/>
      <c r="AG31" s="79"/>
      <c r="AH31" s="79"/>
      <c r="AI31" s="79"/>
      <c r="AJ31" s="79"/>
      <c r="AK31" s="80"/>
      <c r="AL31" s="30"/>
      <c r="AM31" s="79"/>
      <c r="AN31" s="79"/>
      <c r="AO31" s="80"/>
      <c r="AP31" s="30"/>
      <c r="AQ31" s="80"/>
      <c r="AR31" s="30"/>
      <c r="AS31" s="79"/>
      <c r="AT31" s="79"/>
      <c r="AU31" s="79"/>
      <c r="AV31" s="79"/>
      <c r="AW31" s="80"/>
      <c r="AX31" s="30"/>
      <c r="AY31" s="79"/>
      <c r="AZ31" s="79"/>
      <c r="BA31" s="79"/>
      <c r="BB31" s="79"/>
      <c r="BC31" s="80"/>
      <c r="BD31" s="30"/>
      <c r="BE31" s="79"/>
      <c r="BF31" s="79"/>
      <c r="BG31" s="80"/>
    </row>
    <row r="32" spans="1:59" x14ac:dyDescent="0.2">
      <c r="A32" s="14" t="s">
        <v>65</v>
      </c>
      <c r="B32" s="29">
        <f t="shared" si="19"/>
        <v>-287844.94099917886</v>
      </c>
      <c r="C32" s="30"/>
      <c r="D32" s="79"/>
      <c r="E32" s="79"/>
      <c r="F32" s="80"/>
      <c r="G32" s="275"/>
      <c r="H32" s="30"/>
      <c r="I32" s="79"/>
      <c r="J32" s="79"/>
      <c r="K32" s="79"/>
      <c r="L32" s="79"/>
      <c r="M32" s="80"/>
      <c r="N32" s="30"/>
      <c r="O32" s="79"/>
      <c r="P32" s="79"/>
      <c r="Q32" s="79"/>
      <c r="R32" s="79"/>
      <c r="S32" s="80"/>
      <c r="T32" s="30"/>
      <c r="U32" s="79"/>
      <c r="V32" s="79">
        <f>'[7]Page 5.3'!$I$11</f>
        <v>-37468.940999178878</v>
      </c>
      <c r="W32" s="79"/>
      <c r="X32" s="80"/>
      <c r="Y32" s="275"/>
      <c r="Z32" s="30"/>
      <c r="AA32" s="79"/>
      <c r="AB32" s="79"/>
      <c r="AC32" s="80"/>
      <c r="AD32" s="30"/>
      <c r="AE32" s="80"/>
      <c r="AF32" s="30"/>
      <c r="AG32" s="79"/>
      <c r="AH32" s="79"/>
      <c r="AI32" s="79"/>
      <c r="AJ32" s="79">
        <f>'[18]Page 7.7'!$I$9</f>
        <v>-250376</v>
      </c>
      <c r="AK32" s="80"/>
      <c r="AL32" s="30"/>
      <c r="AM32" s="79"/>
      <c r="AN32" s="79"/>
      <c r="AO32" s="80"/>
      <c r="AP32" s="30"/>
      <c r="AQ32" s="80"/>
      <c r="AR32" s="30"/>
      <c r="AS32" s="79"/>
      <c r="AT32" s="79"/>
      <c r="AU32" s="79"/>
      <c r="AV32" s="79"/>
      <c r="AW32" s="80"/>
      <c r="AX32" s="30"/>
      <c r="AY32" s="79"/>
      <c r="AZ32" s="79"/>
      <c r="BA32" s="79"/>
      <c r="BB32" s="79"/>
      <c r="BC32" s="80"/>
      <c r="BD32" s="30"/>
      <c r="BE32" s="79"/>
      <c r="BF32" s="79"/>
      <c r="BG32" s="80"/>
    </row>
    <row r="33" spans="1:59" x14ac:dyDescent="0.2">
      <c r="A33" s="14" t="s">
        <v>66</v>
      </c>
      <c r="B33" s="29">
        <f t="shared" si="19"/>
        <v>6872894.5879040677</v>
      </c>
      <c r="C33" s="30">
        <f>C87</f>
        <v>-1357438.9373999999</v>
      </c>
      <c r="D33" s="79">
        <f t="shared" ref="D33:AZ33" si="40">D87</f>
        <v>6157493.3302624086</v>
      </c>
      <c r="E33" s="79">
        <f t="shared" ref="E33" si="41">E87</f>
        <v>-22235.254287807256</v>
      </c>
      <c r="F33" s="80">
        <f t="shared" si="40"/>
        <v>0</v>
      </c>
      <c r="G33" s="275">
        <f t="shared" si="40"/>
        <v>44314.310007560016</v>
      </c>
      <c r="H33" s="30">
        <f t="shared" si="40"/>
        <v>-37369.486517235695</v>
      </c>
      <c r="I33" s="79">
        <f t="shared" si="40"/>
        <v>0</v>
      </c>
      <c r="J33" s="79">
        <f t="shared" si="40"/>
        <v>138387.31735770238</v>
      </c>
      <c r="K33" s="79">
        <f t="shared" ref="K33:L33" si="42">K87</f>
        <v>2730.1616446130793</v>
      </c>
      <c r="L33" s="79">
        <f t="shared" si="42"/>
        <v>-3333.8442297822112</v>
      </c>
      <c r="M33" s="80">
        <f t="shared" si="40"/>
        <v>-13074.364815563074</v>
      </c>
      <c r="N33" s="30">
        <f t="shared" si="40"/>
        <v>-8176.9600326330137</v>
      </c>
      <c r="O33" s="79">
        <f t="shared" si="40"/>
        <v>0</v>
      </c>
      <c r="P33" s="79">
        <f t="shared" si="40"/>
        <v>-52962.783300000003</v>
      </c>
      <c r="Q33" s="79">
        <f t="shared" si="40"/>
        <v>-93746.534944430314</v>
      </c>
      <c r="R33" s="79">
        <f t="shared" si="40"/>
        <v>-21341.393627134297</v>
      </c>
      <c r="S33" s="80">
        <f t="shared" si="40"/>
        <v>-7157.0780056422682</v>
      </c>
      <c r="T33" s="30">
        <f t="shared" ref="T33" si="43">T87</f>
        <v>1191882.5415706944</v>
      </c>
      <c r="U33" s="79">
        <f t="shared" ref="U33:V33" si="44">U87</f>
        <v>0</v>
      </c>
      <c r="V33" s="79">
        <f t="shared" si="44"/>
        <v>54429.022984475894</v>
      </c>
      <c r="W33" s="79">
        <f t="shared" ref="W33:X33" si="45">W87</f>
        <v>0</v>
      </c>
      <c r="X33" s="80">
        <f t="shared" si="45"/>
        <v>0</v>
      </c>
      <c r="Y33" s="275">
        <f t="shared" ref="Y33:AB33" si="46">Y87</f>
        <v>0</v>
      </c>
      <c r="Z33" s="30">
        <f t="shared" ref="Z33:AA33" si="47">Z87</f>
        <v>0</v>
      </c>
      <c r="AA33" s="79">
        <f t="shared" si="47"/>
        <v>0</v>
      </c>
      <c r="AB33" s="79">
        <f t="shared" si="46"/>
        <v>0</v>
      </c>
      <c r="AC33" s="80">
        <f t="shared" ref="AC33" si="48">AC87</f>
        <v>0</v>
      </c>
      <c r="AD33" s="30">
        <f t="shared" si="40"/>
        <v>859633.44666330295</v>
      </c>
      <c r="AE33" s="80">
        <f t="shared" ref="AE33" si="49">AE87</f>
        <v>0</v>
      </c>
      <c r="AF33" s="30">
        <f t="shared" si="40"/>
        <v>0</v>
      </c>
      <c r="AG33" s="79">
        <f t="shared" ref="AG33" si="50">AG87</f>
        <v>0</v>
      </c>
      <c r="AH33" s="79">
        <f t="shared" si="40"/>
        <v>0</v>
      </c>
      <c r="AI33" s="79">
        <f t="shared" si="40"/>
        <v>0</v>
      </c>
      <c r="AJ33" s="79">
        <f t="shared" si="40"/>
        <v>52578.96</v>
      </c>
      <c r="AK33" s="80">
        <f t="shared" ref="AK33" si="51">AK87</f>
        <v>970.25057353796319</v>
      </c>
      <c r="AL33" s="30">
        <f t="shared" ref="AL33" si="52">AL87</f>
        <v>0</v>
      </c>
      <c r="AM33" s="79">
        <f t="shared" ref="AM33:AO33" si="53">AM87</f>
        <v>0</v>
      </c>
      <c r="AN33" s="79">
        <f t="shared" si="53"/>
        <v>0</v>
      </c>
      <c r="AO33" s="80">
        <f t="shared" si="53"/>
        <v>0</v>
      </c>
      <c r="AP33" s="30">
        <f t="shared" si="40"/>
        <v>0</v>
      </c>
      <c r="AQ33" s="80">
        <f t="shared" si="40"/>
        <v>0</v>
      </c>
      <c r="AR33" s="30">
        <f t="shared" si="40"/>
        <v>0</v>
      </c>
      <c r="AS33" s="79">
        <f t="shared" si="40"/>
        <v>0</v>
      </c>
      <c r="AT33" s="79">
        <f t="shared" ref="AT33" si="54">AT87</f>
        <v>0</v>
      </c>
      <c r="AU33" s="79"/>
      <c r="AV33" s="79">
        <f t="shared" si="40"/>
        <v>-12688.116</v>
      </c>
      <c r="AW33" s="80">
        <f t="shared" si="40"/>
        <v>0</v>
      </c>
      <c r="AX33" s="30">
        <f t="shared" si="40"/>
        <v>0</v>
      </c>
      <c r="AY33" s="79">
        <f t="shared" ref="AY33" si="55">AY87</f>
        <v>0</v>
      </c>
      <c r="AZ33" s="79">
        <f t="shared" si="40"/>
        <v>0</v>
      </c>
      <c r="BA33" s="79">
        <f t="shared" ref="BA33:BB33" si="56">BA87</f>
        <v>0</v>
      </c>
      <c r="BB33" s="79">
        <f t="shared" si="56"/>
        <v>0</v>
      </c>
      <c r="BC33" s="80">
        <f t="shared" ref="BC33" si="57">BC87</f>
        <v>0</v>
      </c>
      <c r="BD33" s="30">
        <f t="shared" ref="BD33:BG33" si="58">BD87</f>
        <v>0</v>
      </c>
      <c r="BE33" s="79">
        <f t="shared" si="58"/>
        <v>0</v>
      </c>
      <c r="BF33" s="79">
        <f t="shared" si="58"/>
        <v>0</v>
      </c>
      <c r="BG33" s="80">
        <f t="shared" si="58"/>
        <v>0</v>
      </c>
    </row>
    <row r="34" spans="1:59" x14ac:dyDescent="0.2">
      <c r="A34" s="14" t="s">
        <v>67</v>
      </c>
      <c r="B34" s="29">
        <f t="shared" si="19"/>
        <v>0</v>
      </c>
      <c r="C34" s="29">
        <v>0</v>
      </c>
      <c r="D34" s="77">
        <v>0</v>
      </c>
      <c r="E34" s="77">
        <v>0</v>
      </c>
      <c r="F34" s="78">
        <v>0</v>
      </c>
      <c r="G34" s="87">
        <v>0</v>
      </c>
      <c r="H34" s="29">
        <v>0</v>
      </c>
      <c r="I34" s="77">
        <v>0</v>
      </c>
      <c r="J34" s="77">
        <v>0</v>
      </c>
      <c r="K34" s="77">
        <v>0</v>
      </c>
      <c r="L34" s="77">
        <v>0</v>
      </c>
      <c r="M34" s="78">
        <v>0</v>
      </c>
      <c r="N34" s="29">
        <v>0</v>
      </c>
      <c r="O34" s="77">
        <v>0</v>
      </c>
      <c r="P34" s="77">
        <v>0</v>
      </c>
      <c r="Q34" s="77">
        <v>0</v>
      </c>
      <c r="R34" s="77">
        <v>0</v>
      </c>
      <c r="S34" s="78">
        <v>0</v>
      </c>
      <c r="T34" s="29">
        <v>0</v>
      </c>
      <c r="U34" s="77">
        <v>0</v>
      </c>
      <c r="V34" s="77">
        <v>0</v>
      </c>
      <c r="W34" s="77">
        <v>0</v>
      </c>
      <c r="X34" s="78">
        <v>0</v>
      </c>
      <c r="Y34" s="87">
        <v>0</v>
      </c>
      <c r="Z34" s="29">
        <v>0</v>
      </c>
      <c r="AA34" s="77">
        <v>0</v>
      </c>
      <c r="AB34" s="77">
        <v>0</v>
      </c>
      <c r="AC34" s="78">
        <v>0</v>
      </c>
      <c r="AD34" s="29">
        <v>0</v>
      </c>
      <c r="AE34" s="78">
        <v>0</v>
      </c>
      <c r="AF34" s="29">
        <v>0</v>
      </c>
      <c r="AG34" s="77">
        <v>0</v>
      </c>
      <c r="AH34" s="77">
        <v>0</v>
      </c>
      <c r="AI34" s="77">
        <v>0</v>
      </c>
      <c r="AJ34" s="77">
        <v>0</v>
      </c>
      <c r="AK34" s="78">
        <v>0</v>
      </c>
      <c r="AL34" s="29">
        <v>0</v>
      </c>
      <c r="AM34" s="77">
        <v>0</v>
      </c>
      <c r="AN34" s="77">
        <v>0</v>
      </c>
      <c r="AO34" s="78">
        <v>0</v>
      </c>
      <c r="AP34" s="29">
        <v>0</v>
      </c>
      <c r="AQ34" s="78">
        <v>0</v>
      </c>
      <c r="AR34" s="29">
        <v>0</v>
      </c>
      <c r="AS34" s="77">
        <v>0</v>
      </c>
      <c r="AT34" s="77">
        <v>0</v>
      </c>
      <c r="AU34" s="77">
        <v>0</v>
      </c>
      <c r="AV34" s="77">
        <v>0</v>
      </c>
      <c r="AW34" s="78">
        <v>0</v>
      </c>
      <c r="AX34" s="29">
        <v>0</v>
      </c>
      <c r="AY34" s="77">
        <v>0</v>
      </c>
      <c r="AZ34" s="77">
        <v>0</v>
      </c>
      <c r="BA34" s="77">
        <v>0</v>
      </c>
      <c r="BB34" s="77">
        <v>0</v>
      </c>
      <c r="BC34" s="78">
        <v>0</v>
      </c>
      <c r="BD34" s="29">
        <v>0</v>
      </c>
      <c r="BE34" s="77">
        <v>0</v>
      </c>
      <c r="BF34" s="77">
        <v>0</v>
      </c>
      <c r="BG34" s="78">
        <v>0</v>
      </c>
    </row>
    <row r="35" spans="1:59" x14ac:dyDescent="0.2">
      <c r="A35" s="14" t="s">
        <v>68</v>
      </c>
      <c r="B35" s="29">
        <f t="shared" si="19"/>
        <v>-4911050.4623990003</v>
      </c>
      <c r="C35" s="30"/>
      <c r="D35" s="79"/>
      <c r="E35" s="79"/>
      <c r="F35" s="80"/>
      <c r="G35" s="275"/>
      <c r="H35" s="30"/>
      <c r="I35" s="79"/>
      <c r="J35" s="79"/>
      <c r="K35" s="79"/>
      <c r="L35" s="79"/>
      <c r="M35" s="80"/>
      <c r="N35" s="30"/>
      <c r="O35" s="79"/>
      <c r="P35" s="79"/>
      <c r="Q35" s="79">
        <f>'[15]Page 4.11'!$I$17+'[15]Page 4.11'!$I$21+'[15]Page 4.11'!$I$25</f>
        <v>1974.7413444922713</v>
      </c>
      <c r="R35" s="79"/>
      <c r="S35" s="80"/>
      <c r="T35" s="30"/>
      <c r="U35" s="79"/>
      <c r="V35" s="79">
        <f>'[7]Page 5.3'!$I$13+'[7]Page 5.3'!$I$41</f>
        <v>82991.056256507218</v>
      </c>
      <c r="W35" s="79"/>
      <c r="X35" s="80"/>
      <c r="Y35" s="275"/>
      <c r="Z35" s="30"/>
      <c r="AA35" s="79"/>
      <c r="AB35" s="79"/>
      <c r="AC35" s="80"/>
      <c r="AD35" s="30"/>
      <c r="AE35" s="80"/>
      <c r="AF35" s="30"/>
      <c r="AG35" s="79"/>
      <c r="AH35" s="79"/>
      <c r="AI35" s="79"/>
      <c r="AJ35" s="79"/>
      <c r="AK35" s="80"/>
      <c r="AL35" s="30"/>
      <c r="AM35" s="79"/>
      <c r="AN35" s="79">
        <f>SUM('[19]Page 7.11'!$I$19:$I$20)</f>
        <v>-4996016.26</v>
      </c>
      <c r="AO35" s="80"/>
      <c r="AP35" s="30"/>
      <c r="AQ35" s="80"/>
      <c r="AR35" s="30"/>
      <c r="AS35" s="79"/>
      <c r="AT35" s="79"/>
      <c r="AU35" s="79"/>
      <c r="AV35" s="79"/>
      <c r="AW35" s="80"/>
      <c r="AX35" s="30"/>
      <c r="AY35" s="79"/>
      <c r="AZ35" s="79"/>
      <c r="BA35" s="79"/>
      <c r="BB35" s="79"/>
      <c r="BC35" s="80"/>
      <c r="BD35" s="30"/>
      <c r="BE35" s="79"/>
      <c r="BF35" s="79"/>
      <c r="BG35" s="80"/>
    </row>
    <row r="36" spans="1:59" x14ac:dyDescent="0.2">
      <c r="A36" s="14" t="s">
        <v>69</v>
      </c>
      <c r="B36" s="29">
        <f t="shared" si="19"/>
        <v>0</v>
      </c>
      <c r="C36" s="30"/>
      <c r="D36" s="79"/>
      <c r="E36" s="79"/>
      <c r="F36" s="80"/>
      <c r="G36" s="275"/>
      <c r="H36" s="30"/>
      <c r="I36" s="79"/>
      <c r="J36" s="79"/>
      <c r="K36" s="79"/>
      <c r="L36" s="79"/>
      <c r="M36" s="80"/>
      <c r="N36" s="30"/>
      <c r="O36" s="79"/>
      <c r="P36" s="79"/>
      <c r="Q36" s="79"/>
      <c r="R36" s="79"/>
      <c r="S36" s="80"/>
      <c r="T36" s="30"/>
      <c r="U36" s="79"/>
      <c r="V36" s="79"/>
      <c r="W36" s="79"/>
      <c r="X36" s="80"/>
      <c r="Y36" s="275"/>
      <c r="Z36" s="30"/>
      <c r="AA36" s="79"/>
      <c r="AB36" s="79"/>
      <c r="AC36" s="80"/>
      <c r="AD36" s="30"/>
      <c r="AE36" s="80"/>
      <c r="AF36" s="30"/>
      <c r="AG36" s="79"/>
      <c r="AH36" s="79"/>
      <c r="AI36" s="79"/>
      <c r="AJ36" s="79"/>
      <c r="AK36" s="80"/>
      <c r="AL36" s="30"/>
      <c r="AM36" s="79"/>
      <c r="AN36" s="79"/>
      <c r="AO36" s="80"/>
      <c r="AP36" s="30"/>
      <c r="AQ36" s="80"/>
      <c r="AR36" s="30"/>
      <c r="AS36" s="79"/>
      <c r="AT36" s="79"/>
      <c r="AU36" s="79"/>
      <c r="AV36" s="79"/>
      <c r="AW36" s="80"/>
      <c r="AX36" s="30"/>
      <c r="AY36" s="79"/>
      <c r="AZ36" s="79"/>
      <c r="BA36" s="79"/>
      <c r="BB36" s="79"/>
      <c r="BC36" s="80"/>
      <c r="BD36" s="30"/>
      <c r="BE36" s="79"/>
      <c r="BF36" s="79"/>
      <c r="BG36" s="80"/>
    </row>
    <row r="37" spans="1:59" x14ac:dyDescent="0.2">
      <c r="A37" s="14" t="s">
        <v>70</v>
      </c>
      <c r="B37" s="29">
        <f t="shared" si="19"/>
        <v>325568.89931887086</v>
      </c>
      <c r="C37" s="30"/>
      <c r="D37" s="79"/>
      <c r="E37" s="79"/>
      <c r="F37" s="80"/>
      <c r="G37" s="275">
        <f>'[8]Page 4.1'!$I$18</f>
        <v>265149.29931887088</v>
      </c>
      <c r="H37" s="30"/>
      <c r="I37" s="79"/>
      <c r="J37" s="79"/>
      <c r="K37" s="79"/>
      <c r="L37" s="79"/>
      <c r="M37" s="80"/>
      <c r="N37" s="30"/>
      <c r="O37" s="79"/>
      <c r="P37" s="79"/>
      <c r="Q37" s="79"/>
      <c r="R37" s="79"/>
      <c r="S37" s="80"/>
      <c r="T37" s="30"/>
      <c r="U37" s="79"/>
      <c r="V37" s="79"/>
      <c r="W37" s="79"/>
      <c r="X37" s="80"/>
      <c r="Y37" s="275"/>
      <c r="Z37" s="30"/>
      <c r="AA37" s="79"/>
      <c r="AB37" s="79"/>
      <c r="AC37" s="80"/>
      <c r="AD37" s="30"/>
      <c r="AE37" s="80"/>
      <c r="AF37" s="30"/>
      <c r="AG37" s="79"/>
      <c r="AH37" s="79"/>
      <c r="AI37" s="79"/>
      <c r="AJ37" s="79"/>
      <c r="AK37" s="80"/>
      <c r="AL37" s="30"/>
      <c r="AM37" s="79"/>
      <c r="AN37" s="79"/>
      <c r="AO37" s="80"/>
      <c r="AP37" s="30"/>
      <c r="AQ37" s="80"/>
      <c r="AR37" s="30"/>
      <c r="AS37" s="79"/>
      <c r="AT37" s="79"/>
      <c r="AU37" s="79"/>
      <c r="AV37" s="79">
        <f>'[20]Page 8.7'!$I$10</f>
        <v>60419.600000000006</v>
      </c>
      <c r="AW37" s="80"/>
      <c r="AX37" s="30"/>
      <c r="AY37" s="79"/>
      <c r="AZ37" s="79"/>
      <c r="BA37" s="79"/>
      <c r="BB37" s="79"/>
      <c r="BC37" s="80"/>
      <c r="BD37" s="30"/>
      <c r="BE37" s="79"/>
      <c r="BF37" s="79"/>
      <c r="BG37" s="80"/>
    </row>
    <row r="38" spans="1:59" x14ac:dyDescent="0.2">
      <c r="A38" s="14" t="s">
        <v>71</v>
      </c>
      <c r="B38" s="31">
        <f t="shared" si="19"/>
        <v>-4488164.509965525</v>
      </c>
      <c r="C38" s="31">
        <f>SUM(C29:C37)</f>
        <v>-1357438.9373999999</v>
      </c>
      <c r="D38" s="81">
        <f t="shared" ref="D38:AZ38" si="59">SUM(D29:D37)</f>
        <v>6157493.3302624086</v>
      </c>
      <c r="E38" s="81">
        <f t="shared" ref="E38" si="60">SUM(E29:E37)</f>
        <v>-22235.254287807256</v>
      </c>
      <c r="F38" s="82">
        <f t="shared" si="59"/>
        <v>0</v>
      </c>
      <c r="G38" s="151">
        <f t="shared" si="59"/>
        <v>-166706.21383796388</v>
      </c>
      <c r="H38" s="31">
        <f t="shared" si="59"/>
        <v>140580.44927912476</v>
      </c>
      <c r="I38" s="81">
        <f t="shared" si="59"/>
        <v>0</v>
      </c>
      <c r="J38" s="81">
        <f t="shared" si="59"/>
        <v>-520599.90815516608</v>
      </c>
      <c r="K38" s="81">
        <f t="shared" ref="K38:L38" si="61">SUM(K29:K37)</f>
        <v>-10270.60809163968</v>
      </c>
      <c r="L38" s="81">
        <f t="shared" si="61"/>
        <v>12541.604483466414</v>
      </c>
      <c r="M38" s="82">
        <f t="shared" si="59"/>
        <v>49184.515258546809</v>
      </c>
      <c r="N38" s="31">
        <f t="shared" si="59"/>
        <v>30760.944884667053</v>
      </c>
      <c r="O38" s="81">
        <f t="shared" ref="O38:R38" si="62">SUM(O29:O37)</f>
        <v>0</v>
      </c>
      <c r="P38" s="81">
        <f t="shared" si="62"/>
        <v>-52962.783300000003</v>
      </c>
      <c r="Q38" s="81">
        <f t="shared" si="62"/>
        <v>346607.33541061811</v>
      </c>
      <c r="R38" s="81">
        <f t="shared" si="62"/>
        <v>80284.29031160046</v>
      </c>
      <c r="S38" s="82">
        <f t="shared" ref="S38:AB38" si="63">SUM(S29:S37)</f>
        <v>26924.245830749489</v>
      </c>
      <c r="T38" s="31">
        <f t="shared" si="63"/>
        <v>-4483748.6087659458</v>
      </c>
      <c r="U38" s="81">
        <f t="shared" si="63"/>
        <v>0</v>
      </c>
      <c r="V38" s="81">
        <f t="shared" ref="V38:X38" si="64">SUM(V29:V37)</f>
        <v>-433100.79308502469</v>
      </c>
      <c r="W38" s="81">
        <f t="shared" si="64"/>
        <v>0</v>
      </c>
      <c r="X38" s="82">
        <f t="shared" si="64"/>
        <v>0</v>
      </c>
      <c r="Y38" s="151">
        <f t="shared" ref="Y38:Z38" si="65">SUM(Y29:Y37)</f>
        <v>0</v>
      </c>
      <c r="Z38" s="31">
        <f t="shared" si="65"/>
        <v>0</v>
      </c>
      <c r="AA38" s="81">
        <f t="shared" ref="AA38" si="66">SUM(AA29:AA37)</f>
        <v>0</v>
      </c>
      <c r="AB38" s="81">
        <f t="shared" si="63"/>
        <v>0</v>
      </c>
      <c r="AC38" s="82">
        <f t="shared" ref="AC38" si="67">SUM(AC29:AC37)</f>
        <v>0</v>
      </c>
      <c r="AD38" s="31">
        <f t="shared" si="59"/>
        <v>859633.44666330295</v>
      </c>
      <c r="AE38" s="82">
        <f t="shared" ref="AE38" si="68">SUM(AE29:AE37)</f>
        <v>0</v>
      </c>
      <c r="AF38" s="31">
        <f t="shared" si="59"/>
        <v>0</v>
      </c>
      <c r="AG38" s="81">
        <f t="shared" ref="AG38" si="69">SUM(AG29:AG37)</f>
        <v>0</v>
      </c>
      <c r="AH38" s="81">
        <f t="shared" si="59"/>
        <v>0</v>
      </c>
      <c r="AI38" s="81">
        <f t="shared" si="59"/>
        <v>0</v>
      </c>
      <c r="AJ38" s="81">
        <f t="shared" ref="AJ38" si="70">SUM(AJ29:AJ37)</f>
        <v>-197797.04</v>
      </c>
      <c r="AK38" s="82">
        <f t="shared" ref="AK38" si="71">SUM(AK29:AK37)</f>
        <v>970.25057353796319</v>
      </c>
      <c r="AL38" s="31">
        <f t="shared" ref="AL38" si="72">SUM(AL29:AL37)</f>
        <v>0</v>
      </c>
      <c r="AM38" s="81">
        <f t="shared" ref="AM38:AO38" si="73">SUM(AM29:AM37)</f>
        <v>0</v>
      </c>
      <c r="AN38" s="81">
        <f t="shared" si="73"/>
        <v>-4996016.26</v>
      </c>
      <c r="AO38" s="82">
        <f t="shared" si="73"/>
        <v>0</v>
      </c>
      <c r="AP38" s="31">
        <f t="shared" si="59"/>
        <v>0</v>
      </c>
      <c r="AQ38" s="82">
        <f t="shared" si="59"/>
        <v>0</v>
      </c>
      <c r="AR38" s="31">
        <f t="shared" si="59"/>
        <v>0</v>
      </c>
      <c r="AS38" s="81">
        <f t="shared" si="59"/>
        <v>0</v>
      </c>
      <c r="AT38" s="81">
        <f t="shared" ref="AT38" si="74">SUM(AT29:AT37)</f>
        <v>0</v>
      </c>
      <c r="AU38" s="81">
        <f t="shared" ref="AU38" si="75">SUM(AU29:AU37)</f>
        <v>0</v>
      </c>
      <c r="AV38" s="81">
        <f t="shared" si="59"/>
        <v>47731.484000000004</v>
      </c>
      <c r="AW38" s="82">
        <f t="shared" si="59"/>
        <v>0</v>
      </c>
      <c r="AX38" s="31">
        <f t="shared" si="59"/>
        <v>0</v>
      </c>
      <c r="AY38" s="81">
        <f t="shared" ref="AY38" si="76">SUM(AY29:AY37)</f>
        <v>0</v>
      </c>
      <c r="AZ38" s="81">
        <f t="shared" si="59"/>
        <v>0</v>
      </c>
      <c r="BA38" s="81">
        <f t="shared" ref="BA38:BB38" si="77">SUM(BA29:BA37)</f>
        <v>0</v>
      </c>
      <c r="BB38" s="81">
        <f t="shared" si="77"/>
        <v>0</v>
      </c>
      <c r="BC38" s="82">
        <f t="shared" ref="BC38" si="78">SUM(BC29:BC37)</f>
        <v>0</v>
      </c>
      <c r="BD38" s="31">
        <f t="shared" ref="BD38:BG38" si="79">SUM(BD29:BD37)</f>
        <v>0</v>
      </c>
      <c r="BE38" s="81">
        <f t="shared" si="79"/>
        <v>0</v>
      </c>
      <c r="BF38" s="81">
        <f t="shared" si="79"/>
        <v>0</v>
      </c>
      <c r="BG38" s="82">
        <f t="shared" si="79"/>
        <v>0</v>
      </c>
    </row>
    <row r="39" spans="1:59" x14ac:dyDescent="0.2">
      <c r="A39" s="14"/>
      <c r="B39" s="28">
        <f t="shared" ref="B39" si="80">SUM(C39:BB39)</f>
        <v>0</v>
      </c>
      <c r="C39" s="28"/>
      <c r="D39" s="12"/>
      <c r="E39" s="12"/>
      <c r="F39" s="75"/>
      <c r="G39" s="76"/>
      <c r="H39" s="28"/>
      <c r="I39" s="12"/>
      <c r="J39" s="12"/>
      <c r="K39" s="12"/>
      <c r="L39" s="12"/>
      <c r="M39" s="75"/>
      <c r="N39" s="28"/>
      <c r="O39" s="12"/>
      <c r="P39" s="12"/>
      <c r="Q39" s="12"/>
      <c r="R39" s="12"/>
      <c r="S39" s="75"/>
      <c r="T39" s="28"/>
      <c r="U39" s="12"/>
      <c r="V39" s="12"/>
      <c r="W39" s="12"/>
      <c r="X39" s="75"/>
      <c r="Y39" s="76"/>
      <c r="Z39" s="28"/>
      <c r="AA39" s="12"/>
      <c r="AB39" s="12"/>
      <c r="AC39" s="75"/>
      <c r="AD39" s="28"/>
      <c r="AE39" s="75"/>
      <c r="AF39" s="28"/>
      <c r="AG39" s="12"/>
      <c r="AH39" s="12"/>
      <c r="AI39" s="12"/>
      <c r="AJ39" s="12"/>
      <c r="AK39" s="75"/>
      <c r="AL39" s="28"/>
      <c r="AM39" s="12"/>
      <c r="AN39" s="12"/>
      <c r="AO39" s="75"/>
      <c r="AP39" s="28"/>
      <c r="AQ39" s="75"/>
      <c r="AR39" s="28"/>
      <c r="AS39" s="12"/>
      <c r="AT39" s="12"/>
      <c r="AU39" s="12"/>
      <c r="AV39" s="12"/>
      <c r="AW39" s="75"/>
      <c r="AX39" s="28"/>
      <c r="AY39" s="12"/>
      <c r="AZ39" s="12"/>
      <c r="BA39" s="12"/>
      <c r="BB39" s="12"/>
      <c r="BC39" s="75"/>
      <c r="BD39" s="28"/>
      <c r="BE39" s="12"/>
      <c r="BF39" s="12"/>
      <c r="BG39" s="75"/>
    </row>
    <row r="40" spans="1:59" ht="13.5" thickBot="1" x14ac:dyDescent="0.25">
      <c r="A40" s="14" t="s">
        <v>72</v>
      </c>
      <c r="B40" s="33">
        <f>SUM(C40:BG40)</f>
        <v>26987480.487463627</v>
      </c>
      <c r="C40" s="33">
        <f t="shared" ref="C40:AZ40" si="81">C16-C38</f>
        <v>-5106556.0026000002</v>
      </c>
      <c r="D40" s="88">
        <f t="shared" si="81"/>
        <v>23163903.480510969</v>
      </c>
      <c r="E40" s="88">
        <f t="shared" ref="E40" si="82">E16-E38</f>
        <v>-83646.908987465402</v>
      </c>
      <c r="F40" s="89">
        <f t="shared" si="81"/>
        <v>0</v>
      </c>
      <c r="G40" s="152">
        <f t="shared" si="81"/>
        <v>166706.21383796388</v>
      </c>
      <c r="H40" s="33">
        <f t="shared" si="81"/>
        <v>-140580.44927912476</v>
      </c>
      <c r="I40" s="88">
        <f t="shared" si="81"/>
        <v>0</v>
      </c>
      <c r="J40" s="88">
        <f t="shared" si="81"/>
        <v>520599.90815516608</v>
      </c>
      <c r="K40" s="88">
        <f t="shared" ref="K40:L40" si="83">K16-K38</f>
        <v>10270.60809163968</v>
      </c>
      <c r="L40" s="88">
        <f t="shared" si="83"/>
        <v>-12541.604483466414</v>
      </c>
      <c r="M40" s="89">
        <f t="shared" si="81"/>
        <v>-49184.515258546809</v>
      </c>
      <c r="N40" s="33">
        <f t="shared" si="81"/>
        <v>-30760.944884667053</v>
      </c>
      <c r="O40" s="88">
        <f t="shared" ref="O40:R40" si="84">O16-O38</f>
        <v>0</v>
      </c>
      <c r="P40" s="88">
        <f t="shared" si="84"/>
        <v>-199240.9467</v>
      </c>
      <c r="Q40" s="88">
        <f t="shared" si="84"/>
        <v>-346607.33541061811</v>
      </c>
      <c r="R40" s="88">
        <f t="shared" si="84"/>
        <v>-80284.29031160046</v>
      </c>
      <c r="S40" s="89">
        <f t="shared" ref="S40:AB40" si="85">S16-S38</f>
        <v>-26924.245830749489</v>
      </c>
      <c r="T40" s="33">
        <f t="shared" si="85"/>
        <v>4483748.6087659458</v>
      </c>
      <c r="U40" s="88">
        <f t="shared" si="85"/>
        <v>0</v>
      </c>
      <c r="V40" s="88">
        <f t="shared" ref="V40:X40" si="86">V16-V38</f>
        <v>433100.79308502469</v>
      </c>
      <c r="W40" s="88">
        <f t="shared" si="86"/>
        <v>0</v>
      </c>
      <c r="X40" s="89">
        <f t="shared" si="86"/>
        <v>0</v>
      </c>
      <c r="Y40" s="152">
        <f t="shared" ref="Y40:Z40" si="87">Y16-Y38</f>
        <v>0</v>
      </c>
      <c r="Z40" s="33">
        <f t="shared" si="87"/>
        <v>0</v>
      </c>
      <c r="AA40" s="88">
        <f t="shared" ref="AA40" si="88">AA16-AA38</f>
        <v>0</v>
      </c>
      <c r="AB40" s="88">
        <f t="shared" si="85"/>
        <v>0</v>
      </c>
      <c r="AC40" s="89">
        <f t="shared" ref="AC40" si="89">AC16-AC38</f>
        <v>0</v>
      </c>
      <c r="AD40" s="33">
        <f t="shared" si="81"/>
        <v>-859633.44666330295</v>
      </c>
      <c r="AE40" s="89">
        <f t="shared" ref="AE40" si="90">AE16-AE38</f>
        <v>0</v>
      </c>
      <c r="AF40" s="33">
        <f t="shared" si="81"/>
        <v>0</v>
      </c>
      <c r="AG40" s="88">
        <f t="shared" ref="AG40" si="91">AG16-AG38</f>
        <v>0</v>
      </c>
      <c r="AH40" s="88">
        <f t="shared" si="81"/>
        <v>0</v>
      </c>
      <c r="AI40" s="88">
        <f t="shared" si="81"/>
        <v>0</v>
      </c>
      <c r="AJ40" s="88">
        <f t="shared" ref="AJ40" si="92">AJ16-AJ38</f>
        <v>197797.04</v>
      </c>
      <c r="AK40" s="89">
        <f t="shared" ref="AK40" si="93">AK16-AK38</f>
        <v>-970.25057353796319</v>
      </c>
      <c r="AL40" s="33">
        <f t="shared" ref="AL40" si="94">AL16-AL38</f>
        <v>0</v>
      </c>
      <c r="AM40" s="88">
        <f t="shared" ref="AM40:AO40" si="95">AM16-AM38</f>
        <v>0</v>
      </c>
      <c r="AN40" s="88">
        <f t="shared" si="95"/>
        <v>4996016.26</v>
      </c>
      <c r="AO40" s="89">
        <f t="shared" si="95"/>
        <v>0</v>
      </c>
      <c r="AP40" s="33">
        <f t="shared" si="81"/>
        <v>0</v>
      </c>
      <c r="AQ40" s="89">
        <f t="shared" si="81"/>
        <v>0</v>
      </c>
      <c r="AR40" s="33">
        <f t="shared" si="81"/>
        <v>0</v>
      </c>
      <c r="AS40" s="88">
        <f t="shared" si="81"/>
        <v>0</v>
      </c>
      <c r="AT40" s="88">
        <f t="shared" ref="AT40" si="96">AT16-AT38</f>
        <v>0</v>
      </c>
      <c r="AU40" s="88">
        <f t="shared" ref="AU40" si="97">AU16-AU38</f>
        <v>0</v>
      </c>
      <c r="AV40" s="88">
        <f t="shared" si="81"/>
        <v>-47731.484000000004</v>
      </c>
      <c r="AW40" s="89">
        <f t="shared" si="81"/>
        <v>0</v>
      </c>
      <c r="AX40" s="33">
        <f t="shared" si="81"/>
        <v>0</v>
      </c>
      <c r="AY40" s="88">
        <f t="shared" ref="AY40" si="98">AY16-AY38</f>
        <v>0</v>
      </c>
      <c r="AZ40" s="88">
        <f t="shared" si="81"/>
        <v>0</v>
      </c>
      <c r="BA40" s="88">
        <f t="shared" ref="BA40:BB40" si="99">BA16-BA38</f>
        <v>0</v>
      </c>
      <c r="BB40" s="88">
        <f t="shared" si="99"/>
        <v>0</v>
      </c>
      <c r="BC40" s="89">
        <f t="shared" ref="BC40" si="100">BC16-BC38</f>
        <v>0</v>
      </c>
      <c r="BD40" s="33">
        <f t="shared" ref="BD40:BG40" si="101">BD16-BD38</f>
        <v>0</v>
      </c>
      <c r="BE40" s="88">
        <f t="shared" si="101"/>
        <v>0</v>
      </c>
      <c r="BF40" s="88">
        <f t="shared" si="101"/>
        <v>0</v>
      </c>
      <c r="BG40" s="89">
        <f t="shared" si="101"/>
        <v>0</v>
      </c>
    </row>
    <row r="41" spans="1:59" ht="13.5" thickTop="1" x14ac:dyDescent="0.2">
      <c r="A41" s="14"/>
      <c r="B41" s="28"/>
      <c r="C41" s="28"/>
      <c r="D41" s="12"/>
      <c r="E41" s="12"/>
      <c r="F41" s="75"/>
      <c r="G41" s="76"/>
      <c r="H41" s="28"/>
      <c r="I41" s="12"/>
      <c r="J41" s="12"/>
      <c r="K41" s="12"/>
      <c r="L41" s="12"/>
      <c r="M41" s="75"/>
      <c r="N41" s="28"/>
      <c r="O41" s="12"/>
      <c r="P41" s="12"/>
      <c r="Q41" s="12"/>
      <c r="R41" s="12"/>
      <c r="S41" s="75"/>
      <c r="T41" s="28"/>
      <c r="U41" s="12"/>
      <c r="V41" s="12"/>
      <c r="W41" s="12"/>
      <c r="X41" s="75"/>
      <c r="Y41" s="76"/>
      <c r="Z41" s="28"/>
      <c r="AA41" s="12"/>
      <c r="AB41" s="12"/>
      <c r="AC41" s="75"/>
      <c r="AD41" s="28"/>
      <c r="AE41" s="75"/>
      <c r="AF41" s="28"/>
      <c r="AG41" s="12"/>
      <c r="AH41" s="12"/>
      <c r="AI41" s="12"/>
      <c r="AJ41" s="12"/>
      <c r="AK41" s="75"/>
      <c r="AL41" s="28"/>
      <c r="AM41" s="12"/>
      <c r="AN41" s="12"/>
      <c r="AO41" s="75"/>
      <c r="AP41" s="28"/>
      <c r="AQ41" s="75"/>
      <c r="AR41" s="28"/>
      <c r="AS41" s="12"/>
      <c r="AT41" s="12"/>
      <c r="AU41" s="12"/>
      <c r="AV41" s="12"/>
      <c r="AW41" s="75"/>
      <c r="AX41" s="28"/>
      <c r="AY41" s="12"/>
      <c r="AZ41" s="12"/>
      <c r="BA41" s="12"/>
      <c r="BB41" s="12"/>
      <c r="BC41" s="75"/>
      <c r="BD41" s="28"/>
      <c r="BE41" s="12"/>
      <c r="BF41" s="12"/>
      <c r="BG41" s="75"/>
    </row>
    <row r="42" spans="1:59" x14ac:dyDescent="0.2">
      <c r="A42" s="14" t="s">
        <v>73</v>
      </c>
      <c r="B42" s="28"/>
      <c r="C42" s="28"/>
      <c r="D42" s="12"/>
      <c r="E42" s="12"/>
      <c r="F42" s="75"/>
      <c r="G42" s="76"/>
      <c r="H42" s="28"/>
      <c r="I42" s="12"/>
      <c r="J42" s="12"/>
      <c r="K42" s="12"/>
      <c r="L42" s="12"/>
      <c r="M42" s="75"/>
      <c r="N42" s="28"/>
      <c r="O42" s="12"/>
      <c r="P42" s="12"/>
      <c r="Q42" s="12"/>
      <c r="R42" s="12"/>
      <c r="S42" s="75"/>
      <c r="T42" s="28"/>
      <c r="U42" s="12"/>
      <c r="V42" s="12"/>
      <c r="W42" s="12"/>
      <c r="X42" s="75"/>
      <c r="Y42" s="76"/>
      <c r="Z42" s="28"/>
      <c r="AA42" s="12"/>
      <c r="AB42" s="12"/>
      <c r="AC42" s="75"/>
      <c r="AD42" s="28"/>
      <c r="AE42" s="75"/>
      <c r="AF42" s="28"/>
      <c r="AG42" s="12"/>
      <c r="AH42" s="12"/>
      <c r="AI42" s="12"/>
      <c r="AJ42" s="12"/>
      <c r="AK42" s="75"/>
      <c r="AL42" s="28"/>
      <c r="AM42" s="12"/>
      <c r="AN42" s="12"/>
      <c r="AO42" s="75"/>
      <c r="AP42" s="28"/>
      <c r="AQ42" s="75"/>
      <c r="AR42" s="28"/>
      <c r="AS42" s="12"/>
      <c r="AT42" s="12"/>
      <c r="AU42" s="12"/>
      <c r="AV42" s="12"/>
      <c r="AW42" s="75"/>
      <c r="AX42" s="28"/>
      <c r="AY42" s="12"/>
      <c r="AZ42" s="12"/>
      <c r="BA42" s="12"/>
      <c r="BB42" s="12"/>
      <c r="BC42" s="75"/>
      <c r="BD42" s="28"/>
      <c r="BE42" s="12"/>
      <c r="BF42" s="12"/>
      <c r="BG42" s="75"/>
    </row>
    <row r="43" spans="1:59" x14ac:dyDescent="0.2">
      <c r="A43" s="14" t="s">
        <v>74</v>
      </c>
      <c r="B43" s="29">
        <f t="shared" ref="B43:B54" si="102">SUM(C43:BG43)</f>
        <v>28841635.412403762</v>
      </c>
      <c r="C43" s="30"/>
      <c r="D43" s="79"/>
      <c r="E43" s="79"/>
      <c r="F43" s="80"/>
      <c r="G43" s="275"/>
      <c r="H43" s="30"/>
      <c r="I43" s="79"/>
      <c r="J43" s="79"/>
      <c r="K43" s="79"/>
      <c r="L43" s="79"/>
      <c r="M43" s="80"/>
      <c r="N43" s="30"/>
      <c r="O43" s="79"/>
      <c r="P43" s="79"/>
      <c r="Q43" s="79"/>
      <c r="R43" s="79"/>
      <c r="S43" s="80"/>
      <c r="T43" s="30"/>
      <c r="U43" s="79"/>
      <c r="V43" s="79">
        <f>SUM('[7]Page 5.3'!$I$31:$I$32)</f>
        <v>-27627626.061196692</v>
      </c>
      <c r="W43" s="79"/>
      <c r="X43" s="80"/>
      <c r="Y43" s="275"/>
      <c r="Z43" s="30"/>
      <c r="AA43" s="79"/>
      <c r="AB43" s="79"/>
      <c r="AC43" s="80"/>
      <c r="AD43" s="30"/>
      <c r="AE43" s="80"/>
      <c r="AF43" s="30"/>
      <c r="AG43" s="79"/>
      <c r="AH43" s="79"/>
      <c r="AI43" s="79"/>
      <c r="AJ43" s="79"/>
      <c r="AK43" s="80"/>
      <c r="AL43" s="30"/>
      <c r="AM43" s="79"/>
      <c r="AN43" s="79"/>
      <c r="AO43" s="80"/>
      <c r="AP43" s="30">
        <f>'[21]Page 8.1'!$I$10+'[21]Page 8.1'!$I$16</f>
        <v>66699999.846626543</v>
      </c>
      <c r="AQ43" s="80"/>
      <c r="AR43" s="30"/>
      <c r="AS43" s="79"/>
      <c r="AT43" s="79"/>
      <c r="AU43" s="79"/>
      <c r="AV43" s="79"/>
      <c r="AW43" s="80"/>
      <c r="AX43" s="30">
        <f>'[22]Page 8.9'!$I$9</f>
        <v>-48905909.683527932</v>
      </c>
      <c r="AY43" s="79">
        <f>'[23]Page 8.10.5'!$I$55</f>
        <v>26891641.18377804</v>
      </c>
      <c r="AZ43" s="79">
        <f>'[24]Page 8.11'!$I$22</f>
        <v>11783530.126723802</v>
      </c>
      <c r="BA43" s="79"/>
      <c r="BB43" s="79"/>
      <c r="BC43" s="80"/>
      <c r="BD43" s="30"/>
      <c r="BE43" s="79"/>
      <c r="BF43" s="79"/>
      <c r="BG43" s="80"/>
    </row>
    <row r="44" spans="1:59" x14ac:dyDescent="0.2">
      <c r="A44" s="14" t="s">
        <v>75</v>
      </c>
      <c r="B44" s="29">
        <f t="shared" si="102"/>
        <v>0</v>
      </c>
      <c r="C44" s="30"/>
      <c r="D44" s="79"/>
      <c r="E44" s="79"/>
      <c r="F44" s="80"/>
      <c r="G44" s="275"/>
      <c r="H44" s="30"/>
      <c r="I44" s="79"/>
      <c r="J44" s="79"/>
      <c r="K44" s="79"/>
      <c r="L44" s="79"/>
      <c r="M44" s="80"/>
      <c r="N44" s="30"/>
      <c r="O44" s="79"/>
      <c r="P44" s="79"/>
      <c r="Q44" s="79"/>
      <c r="R44" s="79"/>
      <c r="S44" s="80"/>
      <c r="T44" s="30"/>
      <c r="U44" s="79"/>
      <c r="V44" s="79"/>
      <c r="W44" s="79"/>
      <c r="X44" s="80"/>
      <c r="Y44" s="275"/>
      <c r="Z44" s="30"/>
      <c r="AA44" s="79"/>
      <c r="AB44" s="79"/>
      <c r="AC44" s="80"/>
      <c r="AD44" s="30"/>
      <c r="AE44" s="80"/>
      <c r="AF44" s="30"/>
      <c r="AG44" s="79"/>
      <c r="AH44" s="79"/>
      <c r="AI44" s="79"/>
      <c r="AJ44" s="79"/>
      <c r="AK44" s="80"/>
      <c r="AL44" s="30"/>
      <c r="AM44" s="79"/>
      <c r="AN44" s="79"/>
      <c r="AO44" s="80"/>
      <c r="AP44" s="30"/>
      <c r="AQ44" s="80"/>
      <c r="AR44" s="30"/>
      <c r="AS44" s="79"/>
      <c r="AT44" s="79"/>
      <c r="AU44" s="79"/>
      <c r="AV44" s="79"/>
      <c r="AW44" s="80"/>
      <c r="AX44" s="30"/>
      <c r="AY44" s="79"/>
      <c r="AZ44" s="79"/>
      <c r="BA44" s="79"/>
      <c r="BB44" s="79"/>
      <c r="BC44" s="80"/>
      <c r="BD44" s="30"/>
      <c r="BE44" s="79"/>
      <c r="BF44" s="79"/>
      <c r="BG44" s="80"/>
    </row>
    <row r="45" spans="1:59" x14ac:dyDescent="0.2">
      <c r="A45" s="14" t="s">
        <v>76</v>
      </c>
      <c r="B45" s="29">
        <f t="shared" si="102"/>
        <v>-4016276.2885573972</v>
      </c>
      <c r="C45" s="30"/>
      <c r="D45" s="79"/>
      <c r="E45" s="79"/>
      <c r="F45" s="80"/>
      <c r="G45" s="275"/>
      <c r="H45" s="30"/>
      <c r="I45" s="79"/>
      <c r="J45" s="79"/>
      <c r="K45" s="79"/>
      <c r="L45" s="79"/>
      <c r="M45" s="80"/>
      <c r="N45" s="30"/>
      <c r="O45" s="79"/>
      <c r="P45" s="79"/>
      <c r="Q45" s="79"/>
      <c r="R45" s="79"/>
      <c r="S45" s="80"/>
      <c r="T45" s="30"/>
      <c r="U45" s="79"/>
      <c r="V45" s="79"/>
      <c r="W45" s="79"/>
      <c r="X45" s="80"/>
      <c r="Y45" s="275"/>
      <c r="Z45" s="30"/>
      <c r="AA45" s="79"/>
      <c r="AB45" s="79"/>
      <c r="AC45" s="80"/>
      <c r="AD45" s="30"/>
      <c r="AE45" s="80"/>
      <c r="AF45" s="30"/>
      <c r="AG45" s="79"/>
      <c r="AH45" s="79"/>
      <c r="AI45" s="79"/>
      <c r="AJ45" s="79"/>
      <c r="AK45" s="80"/>
      <c r="AL45" s="30"/>
      <c r="AM45" s="79"/>
      <c r="AN45" s="79"/>
      <c r="AO45" s="80"/>
      <c r="AP45" s="30">
        <f>'[21]Page 8.1'!$I$11+'[21]Page 8.1'!$I$17</f>
        <v>416378.71464247652</v>
      </c>
      <c r="AQ45" s="80"/>
      <c r="AR45" s="30"/>
      <c r="AS45" s="79"/>
      <c r="AT45" s="79">
        <f>'[25]Pages 8.5 - 8.5.1'!$I$88</f>
        <v>-4432655.0031998735</v>
      </c>
      <c r="AU45" s="79"/>
      <c r="AV45" s="79"/>
      <c r="AW45" s="80"/>
      <c r="AX45" s="30"/>
      <c r="AY45" s="79"/>
      <c r="AZ45" s="79"/>
      <c r="BA45" s="79"/>
      <c r="BB45" s="79"/>
      <c r="BC45" s="80"/>
      <c r="BD45" s="30"/>
      <c r="BE45" s="79"/>
      <c r="BF45" s="79"/>
      <c r="BG45" s="80"/>
    </row>
    <row r="46" spans="1:59" x14ac:dyDescent="0.2">
      <c r="A46" s="14" t="s">
        <v>77</v>
      </c>
      <c r="B46" s="29">
        <f t="shared" si="102"/>
        <v>0</v>
      </c>
      <c r="C46" s="30"/>
      <c r="D46" s="79"/>
      <c r="E46" s="79"/>
      <c r="F46" s="80"/>
      <c r="G46" s="275"/>
      <c r="H46" s="30"/>
      <c r="I46" s="79"/>
      <c r="J46" s="79"/>
      <c r="K46" s="79"/>
      <c r="L46" s="79"/>
      <c r="M46" s="80"/>
      <c r="N46" s="30"/>
      <c r="O46" s="79"/>
      <c r="P46" s="79"/>
      <c r="Q46" s="79"/>
      <c r="R46" s="79"/>
      <c r="S46" s="80"/>
      <c r="T46" s="30"/>
      <c r="U46" s="79"/>
      <c r="V46" s="79"/>
      <c r="W46" s="79"/>
      <c r="X46" s="80"/>
      <c r="Y46" s="275"/>
      <c r="Z46" s="30"/>
      <c r="AA46" s="79"/>
      <c r="AB46" s="79"/>
      <c r="AC46" s="80"/>
      <c r="AD46" s="30"/>
      <c r="AE46" s="80"/>
      <c r="AF46" s="30"/>
      <c r="AG46" s="79"/>
      <c r="AH46" s="79"/>
      <c r="AI46" s="79"/>
      <c r="AJ46" s="79"/>
      <c r="AK46" s="80"/>
      <c r="AL46" s="30"/>
      <c r="AM46" s="79"/>
      <c r="AN46" s="79"/>
      <c r="AO46" s="80"/>
      <c r="AP46" s="30"/>
      <c r="AQ46" s="80"/>
      <c r="AR46" s="30"/>
      <c r="AS46" s="79"/>
      <c r="AT46" s="79"/>
      <c r="AU46" s="79"/>
      <c r="AV46" s="79"/>
      <c r="AW46" s="80"/>
      <c r="AX46" s="30"/>
      <c r="AY46" s="79"/>
      <c r="AZ46" s="79"/>
      <c r="BA46" s="79"/>
      <c r="BB46" s="79"/>
      <c r="BC46" s="80"/>
      <c r="BD46" s="30"/>
      <c r="BE46" s="79"/>
      <c r="BF46" s="79"/>
      <c r="BG46" s="80"/>
    </row>
    <row r="47" spans="1:59" x14ac:dyDescent="0.2">
      <c r="A47" s="14" t="s">
        <v>78</v>
      </c>
      <c r="B47" s="29">
        <f t="shared" si="102"/>
        <v>0</v>
      </c>
      <c r="C47" s="30"/>
      <c r="D47" s="79"/>
      <c r="E47" s="79"/>
      <c r="F47" s="80"/>
      <c r="G47" s="275"/>
      <c r="H47" s="30"/>
      <c r="I47" s="79"/>
      <c r="J47" s="79"/>
      <c r="K47" s="79"/>
      <c r="L47" s="79"/>
      <c r="M47" s="80"/>
      <c r="N47" s="30"/>
      <c r="O47" s="79"/>
      <c r="P47" s="79"/>
      <c r="Q47" s="79"/>
      <c r="R47" s="79"/>
      <c r="S47" s="80"/>
      <c r="T47" s="30"/>
      <c r="U47" s="79"/>
      <c r="V47" s="79"/>
      <c r="W47" s="79"/>
      <c r="X47" s="80"/>
      <c r="Y47" s="275"/>
      <c r="Z47" s="30"/>
      <c r="AA47" s="79"/>
      <c r="AB47" s="79"/>
      <c r="AC47" s="80"/>
      <c r="AD47" s="30"/>
      <c r="AE47" s="80"/>
      <c r="AF47" s="30"/>
      <c r="AG47" s="79"/>
      <c r="AH47" s="79"/>
      <c r="AI47" s="79"/>
      <c r="AJ47" s="79"/>
      <c r="AK47" s="80"/>
      <c r="AL47" s="30"/>
      <c r="AM47" s="79"/>
      <c r="AN47" s="79"/>
      <c r="AO47" s="80"/>
      <c r="AP47" s="30"/>
      <c r="AQ47" s="80"/>
      <c r="AR47" s="30"/>
      <c r="AS47" s="79"/>
      <c r="AT47" s="79"/>
      <c r="AU47" s="79"/>
      <c r="AV47" s="79"/>
      <c r="AW47" s="80"/>
      <c r="AX47" s="30"/>
      <c r="AY47" s="79"/>
      <c r="AZ47" s="79"/>
      <c r="BA47" s="79"/>
      <c r="BB47" s="79"/>
      <c r="BC47" s="80"/>
      <c r="BD47" s="30"/>
      <c r="BE47" s="79"/>
      <c r="BF47" s="79"/>
      <c r="BG47" s="80"/>
    </row>
    <row r="48" spans="1:59" x14ac:dyDescent="0.2">
      <c r="A48" s="14" t="s">
        <v>79</v>
      </c>
      <c r="B48" s="29">
        <f t="shared" si="102"/>
        <v>-2033329.3412143218</v>
      </c>
      <c r="C48" s="30"/>
      <c r="D48" s="79"/>
      <c r="E48" s="79"/>
      <c r="F48" s="80"/>
      <c r="G48" s="275"/>
      <c r="H48" s="30"/>
      <c r="I48" s="79"/>
      <c r="J48" s="79"/>
      <c r="K48" s="79"/>
      <c r="L48" s="79"/>
      <c r="M48" s="80"/>
      <c r="N48" s="30"/>
      <c r="O48" s="79"/>
      <c r="P48" s="79"/>
      <c r="Q48" s="79"/>
      <c r="R48" s="79"/>
      <c r="S48" s="80"/>
      <c r="T48" s="30"/>
      <c r="U48" s="79"/>
      <c r="V48" s="79"/>
      <c r="W48" s="79"/>
      <c r="X48" s="80"/>
      <c r="Y48" s="275"/>
      <c r="Z48" s="30"/>
      <c r="AA48" s="79"/>
      <c r="AB48" s="79"/>
      <c r="AC48" s="80"/>
      <c r="AD48" s="30"/>
      <c r="AE48" s="80"/>
      <c r="AF48" s="30"/>
      <c r="AG48" s="79"/>
      <c r="AH48" s="79"/>
      <c r="AI48" s="79"/>
      <c r="AJ48" s="79"/>
      <c r="AK48" s="80"/>
      <c r="AL48" s="30"/>
      <c r="AM48" s="79"/>
      <c r="AN48" s="79"/>
      <c r="AO48" s="80"/>
      <c r="AP48" s="30"/>
      <c r="AQ48" s="80"/>
      <c r="AR48" s="30"/>
      <c r="AS48" s="79"/>
      <c r="AT48" s="79">
        <f>'[25]Pages 8.5 - 8.5.1'!$I$57+'[25]Pages 8.5 - 8.5.1'!$I$79</f>
        <v>-2033329.3412143218</v>
      </c>
      <c r="AU48" s="79"/>
      <c r="AV48" s="79"/>
      <c r="AW48" s="80"/>
      <c r="AX48" s="30"/>
      <c r="AY48" s="79"/>
      <c r="AZ48" s="79"/>
      <c r="BA48" s="79"/>
      <c r="BB48" s="79"/>
      <c r="BC48" s="80"/>
      <c r="BD48" s="30"/>
      <c r="BE48" s="79"/>
      <c r="BF48" s="79"/>
      <c r="BG48" s="80"/>
    </row>
    <row r="49" spans="1:59" x14ac:dyDescent="0.2">
      <c r="A49" s="14" t="s">
        <v>80</v>
      </c>
      <c r="B49" s="29">
        <f t="shared" si="102"/>
        <v>-5721215.8555581281</v>
      </c>
      <c r="C49" s="30"/>
      <c r="D49" s="79"/>
      <c r="E49" s="79"/>
      <c r="F49" s="80"/>
      <c r="G49" s="275"/>
      <c r="H49" s="30"/>
      <c r="I49" s="79"/>
      <c r="J49" s="79"/>
      <c r="K49" s="79"/>
      <c r="L49" s="79"/>
      <c r="M49" s="80"/>
      <c r="N49" s="30"/>
      <c r="O49" s="79"/>
      <c r="P49" s="79"/>
      <c r="Q49" s="79"/>
      <c r="R49" s="79"/>
      <c r="S49" s="80"/>
      <c r="T49" s="30"/>
      <c r="U49" s="79"/>
      <c r="V49" s="79"/>
      <c r="W49" s="79"/>
      <c r="X49" s="80"/>
      <c r="Y49" s="275"/>
      <c r="Z49" s="30"/>
      <c r="AA49" s="79"/>
      <c r="AB49" s="79"/>
      <c r="AC49" s="80"/>
      <c r="AD49" s="30"/>
      <c r="AE49" s="80"/>
      <c r="AF49" s="30"/>
      <c r="AG49" s="79"/>
      <c r="AH49" s="79"/>
      <c r="AI49" s="79"/>
      <c r="AJ49" s="79"/>
      <c r="AK49" s="80"/>
      <c r="AL49" s="30"/>
      <c r="AM49" s="79"/>
      <c r="AN49" s="79"/>
      <c r="AO49" s="80"/>
      <c r="AP49" s="30"/>
      <c r="AQ49" s="80"/>
      <c r="AR49" s="30"/>
      <c r="AS49" s="79"/>
      <c r="AT49" s="79">
        <f>'[25]Pages 8.5 - 8.5.1'!$I$25</f>
        <v>-5721215.8555581281</v>
      </c>
      <c r="AU49" s="79"/>
      <c r="AV49" s="79"/>
      <c r="AW49" s="80"/>
      <c r="AX49" s="30"/>
      <c r="AY49" s="79"/>
      <c r="AZ49" s="79"/>
      <c r="BA49" s="79"/>
      <c r="BB49" s="79"/>
      <c r="BC49" s="80"/>
      <c r="BD49" s="30"/>
      <c r="BE49" s="79"/>
      <c r="BF49" s="79"/>
      <c r="BG49" s="80"/>
    </row>
    <row r="50" spans="1:59" x14ac:dyDescent="0.2">
      <c r="A50" s="14" t="s">
        <v>81</v>
      </c>
      <c r="B50" s="29">
        <f t="shared" si="102"/>
        <v>-8818868.4865037892</v>
      </c>
      <c r="C50" s="30"/>
      <c r="D50" s="79"/>
      <c r="E50" s="79"/>
      <c r="F50" s="80"/>
      <c r="G50" s="275"/>
      <c r="H50" s="30"/>
      <c r="I50" s="79"/>
      <c r="J50" s="79"/>
      <c r="K50" s="79"/>
      <c r="L50" s="79"/>
      <c r="M50" s="80"/>
      <c r="N50" s="30"/>
      <c r="O50" s="79"/>
      <c r="P50" s="79"/>
      <c r="Q50" s="79"/>
      <c r="R50" s="79"/>
      <c r="S50" s="80"/>
      <c r="T50" s="30"/>
      <c r="U50" s="79"/>
      <c r="V50" s="79"/>
      <c r="W50" s="79"/>
      <c r="X50" s="80"/>
      <c r="Y50" s="275"/>
      <c r="Z50" s="30"/>
      <c r="AA50" s="79"/>
      <c r="AB50" s="79"/>
      <c r="AC50" s="80"/>
      <c r="AD50" s="30"/>
      <c r="AE50" s="80"/>
      <c r="AF50" s="30"/>
      <c r="AG50" s="79"/>
      <c r="AH50" s="79"/>
      <c r="AI50" s="79"/>
      <c r="AJ50" s="79"/>
      <c r="AK50" s="80"/>
      <c r="AL50" s="30"/>
      <c r="AM50" s="79"/>
      <c r="AN50" s="79"/>
      <c r="AO50" s="80"/>
      <c r="AP50" s="30"/>
      <c r="AQ50" s="80"/>
      <c r="AR50" s="30"/>
      <c r="AS50" s="79"/>
      <c r="AT50" s="79">
        <f>'[25]Pages 8.5 - 8.5.1'!$I$44</f>
        <v>-8818868.4865037892</v>
      </c>
      <c r="AU50" s="79"/>
      <c r="AV50" s="79"/>
      <c r="AW50" s="80"/>
      <c r="AX50" s="30"/>
      <c r="AY50" s="79"/>
      <c r="AZ50" s="79"/>
      <c r="BA50" s="79"/>
      <c r="BB50" s="79"/>
      <c r="BC50" s="80"/>
      <c r="BD50" s="30"/>
      <c r="BE50" s="79"/>
      <c r="BF50" s="79"/>
      <c r="BG50" s="80"/>
    </row>
    <row r="51" spans="1:59" x14ac:dyDescent="0.2">
      <c r="A51" s="14" t="s">
        <v>82</v>
      </c>
      <c r="B51" s="29">
        <f t="shared" si="102"/>
        <v>20620031.009925332</v>
      </c>
      <c r="C51" s="30"/>
      <c r="D51" s="79"/>
      <c r="E51" s="79"/>
      <c r="F51" s="80"/>
      <c r="G51" s="275"/>
      <c r="H51" s="30"/>
      <c r="I51" s="79"/>
      <c r="J51" s="79"/>
      <c r="K51" s="79"/>
      <c r="L51" s="79"/>
      <c r="M51" s="80"/>
      <c r="N51" s="30"/>
      <c r="O51" s="79"/>
      <c r="P51" s="79"/>
      <c r="Q51" s="79"/>
      <c r="R51" s="79"/>
      <c r="S51" s="80"/>
      <c r="T51" s="30"/>
      <c r="U51" s="79"/>
      <c r="V51" s="79"/>
      <c r="W51" s="79"/>
      <c r="X51" s="80"/>
      <c r="Y51" s="275"/>
      <c r="Z51" s="30"/>
      <c r="AA51" s="79"/>
      <c r="AB51" s="79"/>
      <c r="AC51" s="80"/>
      <c r="AD51" s="30"/>
      <c r="AE51" s="80"/>
      <c r="AF51" s="30"/>
      <c r="AG51" s="79"/>
      <c r="AH51" s="79"/>
      <c r="AI51" s="79"/>
      <c r="AJ51" s="79"/>
      <c r="AK51" s="80"/>
      <c r="AL51" s="30"/>
      <c r="AM51" s="79"/>
      <c r="AN51" s="79"/>
      <c r="AO51" s="80"/>
      <c r="AP51" s="30"/>
      <c r="AQ51" s="80"/>
      <c r="AR51" s="30"/>
      <c r="AS51" s="79"/>
      <c r="AT51" s="79">
        <f>'[25]Pages 8.5 - 8.5.1'!$I$20</f>
        <v>-2839473.9421010017</v>
      </c>
      <c r="AU51" s="79"/>
      <c r="AV51" s="79"/>
      <c r="AW51" s="80">
        <f>'[26]Page 8.8'!$I$11</f>
        <v>23459504.952026334</v>
      </c>
      <c r="AX51" s="30"/>
      <c r="AY51" s="79"/>
      <c r="AZ51" s="79"/>
      <c r="BA51" s="79"/>
      <c r="BB51" s="79"/>
      <c r="BC51" s="80"/>
      <c r="BD51" s="30"/>
      <c r="BE51" s="79"/>
      <c r="BF51" s="79"/>
      <c r="BG51" s="80"/>
    </row>
    <row r="52" spans="1:59" x14ac:dyDescent="0.2">
      <c r="A52" s="14" t="s">
        <v>83</v>
      </c>
      <c r="B52" s="29">
        <f t="shared" si="102"/>
        <v>0</v>
      </c>
      <c r="C52" s="30"/>
      <c r="D52" s="79"/>
      <c r="E52" s="79"/>
      <c r="F52" s="80"/>
      <c r="G52" s="275"/>
      <c r="H52" s="30"/>
      <c r="I52" s="79"/>
      <c r="J52" s="79"/>
      <c r="K52" s="79"/>
      <c r="L52" s="79"/>
      <c r="M52" s="80"/>
      <c r="N52" s="30"/>
      <c r="O52" s="79"/>
      <c r="P52" s="79"/>
      <c r="Q52" s="79"/>
      <c r="R52" s="79"/>
      <c r="S52" s="80"/>
      <c r="T52" s="30"/>
      <c r="U52" s="79"/>
      <c r="V52" s="79"/>
      <c r="W52" s="79"/>
      <c r="X52" s="80"/>
      <c r="Y52" s="275"/>
      <c r="Z52" s="30"/>
      <c r="AA52" s="79"/>
      <c r="AB52" s="79"/>
      <c r="AC52" s="80"/>
      <c r="AD52" s="30"/>
      <c r="AE52" s="80"/>
      <c r="AF52" s="30"/>
      <c r="AG52" s="79"/>
      <c r="AH52" s="79"/>
      <c r="AI52" s="79"/>
      <c r="AJ52" s="79"/>
      <c r="AK52" s="80"/>
      <c r="AL52" s="30"/>
      <c r="AM52" s="79"/>
      <c r="AN52" s="79"/>
      <c r="AO52" s="80"/>
      <c r="AP52" s="30"/>
      <c r="AQ52" s="80"/>
      <c r="AR52" s="30"/>
      <c r="AS52" s="79"/>
      <c r="AT52" s="79"/>
      <c r="AU52" s="79"/>
      <c r="AV52" s="79"/>
      <c r="AW52" s="80"/>
      <c r="AX52" s="30"/>
      <c r="AY52" s="79"/>
      <c r="AZ52" s="79"/>
      <c r="BA52" s="79"/>
      <c r="BB52" s="79"/>
      <c r="BC52" s="80"/>
      <c r="BD52" s="30"/>
      <c r="BE52" s="79"/>
      <c r="BF52" s="79"/>
      <c r="BG52" s="80"/>
    </row>
    <row r="53" spans="1:59" x14ac:dyDescent="0.2">
      <c r="A53" s="14" t="s">
        <v>84</v>
      </c>
      <c r="B53" s="29">
        <f t="shared" si="102"/>
        <v>0</v>
      </c>
      <c r="C53" s="30"/>
      <c r="D53" s="79"/>
      <c r="E53" s="79"/>
      <c r="F53" s="80"/>
      <c r="G53" s="275"/>
      <c r="H53" s="30"/>
      <c r="I53" s="79"/>
      <c r="J53" s="79"/>
      <c r="K53" s="79"/>
      <c r="L53" s="79"/>
      <c r="M53" s="80"/>
      <c r="N53" s="30"/>
      <c r="O53" s="79"/>
      <c r="P53" s="79"/>
      <c r="Q53" s="79"/>
      <c r="R53" s="79"/>
      <c r="S53" s="80"/>
      <c r="T53" s="30"/>
      <c r="U53" s="79"/>
      <c r="V53" s="79"/>
      <c r="W53" s="79"/>
      <c r="X53" s="80"/>
      <c r="Y53" s="275"/>
      <c r="Z53" s="30"/>
      <c r="AA53" s="79"/>
      <c r="AB53" s="79"/>
      <c r="AC53" s="80"/>
      <c r="AD53" s="30"/>
      <c r="AE53" s="80"/>
      <c r="AF53" s="30"/>
      <c r="AG53" s="79"/>
      <c r="AH53" s="79"/>
      <c r="AI53" s="79"/>
      <c r="AJ53" s="79"/>
      <c r="AK53" s="80"/>
      <c r="AL53" s="30"/>
      <c r="AM53" s="79"/>
      <c r="AN53" s="79"/>
      <c r="AO53" s="80"/>
      <c r="AP53" s="30"/>
      <c r="AQ53" s="80"/>
      <c r="AR53" s="30"/>
      <c r="AS53" s="79"/>
      <c r="AT53" s="79"/>
      <c r="AU53" s="79"/>
      <c r="AV53" s="79"/>
      <c r="AW53" s="80"/>
      <c r="AX53" s="30"/>
      <c r="AY53" s="79"/>
      <c r="AZ53" s="79"/>
      <c r="BA53" s="79"/>
      <c r="BB53" s="79"/>
      <c r="BC53" s="80"/>
      <c r="BD53" s="30"/>
      <c r="BE53" s="79"/>
      <c r="BF53" s="79"/>
      <c r="BG53" s="80"/>
    </row>
    <row r="54" spans="1:59" x14ac:dyDescent="0.2">
      <c r="A54" s="14" t="s">
        <v>85</v>
      </c>
      <c r="B54" s="34">
        <f t="shared" si="102"/>
        <v>28871976.450495452</v>
      </c>
      <c r="C54" s="34">
        <f>SUM(C43:C53)</f>
        <v>0</v>
      </c>
      <c r="D54" s="90">
        <f t="shared" ref="D54:AZ54" si="103">SUM(D43:D53)</f>
        <v>0</v>
      </c>
      <c r="E54" s="90">
        <f t="shared" ref="E54" si="104">SUM(E43:E53)</f>
        <v>0</v>
      </c>
      <c r="F54" s="91">
        <f t="shared" si="103"/>
        <v>0</v>
      </c>
      <c r="G54" s="153">
        <f t="shared" si="103"/>
        <v>0</v>
      </c>
      <c r="H54" s="34">
        <f t="shared" si="103"/>
        <v>0</v>
      </c>
      <c r="I54" s="90">
        <f t="shared" si="103"/>
        <v>0</v>
      </c>
      <c r="J54" s="90">
        <f t="shared" si="103"/>
        <v>0</v>
      </c>
      <c r="K54" s="90">
        <f t="shared" ref="K54:L54" si="105">SUM(K43:K53)</f>
        <v>0</v>
      </c>
      <c r="L54" s="90">
        <f t="shared" si="105"/>
        <v>0</v>
      </c>
      <c r="M54" s="91">
        <f t="shared" si="103"/>
        <v>0</v>
      </c>
      <c r="N54" s="34">
        <f t="shared" si="103"/>
        <v>0</v>
      </c>
      <c r="O54" s="90">
        <f t="shared" ref="O54:R54" si="106">SUM(O43:O53)</f>
        <v>0</v>
      </c>
      <c r="P54" s="90">
        <f t="shared" si="106"/>
        <v>0</v>
      </c>
      <c r="Q54" s="90">
        <f t="shared" si="106"/>
        <v>0</v>
      </c>
      <c r="R54" s="90">
        <f t="shared" si="106"/>
        <v>0</v>
      </c>
      <c r="S54" s="91">
        <f t="shared" ref="S54:AB54" si="107">SUM(S43:S53)</f>
        <v>0</v>
      </c>
      <c r="T54" s="34">
        <f t="shared" si="107"/>
        <v>0</v>
      </c>
      <c r="U54" s="90">
        <f t="shared" si="107"/>
        <v>0</v>
      </c>
      <c r="V54" s="90">
        <f t="shared" ref="V54:X54" si="108">SUM(V43:V53)</f>
        <v>-27627626.061196692</v>
      </c>
      <c r="W54" s="90">
        <f t="shared" si="108"/>
        <v>0</v>
      </c>
      <c r="X54" s="91">
        <f t="shared" si="108"/>
        <v>0</v>
      </c>
      <c r="Y54" s="153">
        <f t="shared" ref="Y54:Z54" si="109">SUM(Y43:Y53)</f>
        <v>0</v>
      </c>
      <c r="Z54" s="34">
        <f t="shared" si="109"/>
        <v>0</v>
      </c>
      <c r="AA54" s="90">
        <f t="shared" ref="AA54" si="110">SUM(AA43:AA53)</f>
        <v>0</v>
      </c>
      <c r="AB54" s="90">
        <f t="shared" si="107"/>
        <v>0</v>
      </c>
      <c r="AC54" s="91">
        <f t="shared" ref="AC54" si="111">SUM(AC43:AC53)</f>
        <v>0</v>
      </c>
      <c r="AD54" s="34">
        <f t="shared" si="103"/>
        <v>0</v>
      </c>
      <c r="AE54" s="91">
        <f t="shared" ref="AE54" si="112">SUM(AE43:AE53)</f>
        <v>0</v>
      </c>
      <c r="AF54" s="34">
        <f t="shared" si="103"/>
        <v>0</v>
      </c>
      <c r="AG54" s="90">
        <f t="shared" ref="AG54" si="113">SUM(AG43:AG53)</f>
        <v>0</v>
      </c>
      <c r="AH54" s="90">
        <f t="shared" si="103"/>
        <v>0</v>
      </c>
      <c r="AI54" s="90">
        <f t="shared" si="103"/>
        <v>0</v>
      </c>
      <c r="AJ54" s="90">
        <f t="shared" ref="AJ54" si="114">SUM(AJ43:AJ53)</f>
        <v>0</v>
      </c>
      <c r="AK54" s="91">
        <f t="shared" ref="AK54" si="115">SUM(AK43:AK53)</f>
        <v>0</v>
      </c>
      <c r="AL54" s="34">
        <f t="shared" ref="AL54:AO54" si="116">SUM(AL43:AL53)</f>
        <v>0</v>
      </c>
      <c r="AM54" s="90">
        <f t="shared" si="116"/>
        <v>0</v>
      </c>
      <c r="AN54" s="90">
        <f t="shared" si="116"/>
        <v>0</v>
      </c>
      <c r="AO54" s="91">
        <f t="shared" si="116"/>
        <v>0</v>
      </c>
      <c r="AP54" s="34">
        <f t="shared" si="103"/>
        <v>67116378.561269015</v>
      </c>
      <c r="AQ54" s="91">
        <f t="shared" si="103"/>
        <v>0</v>
      </c>
      <c r="AR54" s="34">
        <f t="shared" si="103"/>
        <v>0</v>
      </c>
      <c r="AS54" s="90">
        <f t="shared" si="103"/>
        <v>0</v>
      </c>
      <c r="AT54" s="90">
        <f t="shared" ref="AT54" si="117">SUM(AT43:AT53)</f>
        <v>-23845542.628577113</v>
      </c>
      <c r="AU54" s="90">
        <f t="shared" ref="AU54" si="118">SUM(AU43:AU53)</f>
        <v>0</v>
      </c>
      <c r="AV54" s="90">
        <f t="shared" si="103"/>
        <v>0</v>
      </c>
      <c r="AW54" s="91">
        <f t="shared" si="103"/>
        <v>23459504.952026334</v>
      </c>
      <c r="AX54" s="34">
        <f t="shared" si="103"/>
        <v>-48905909.683527932</v>
      </c>
      <c r="AY54" s="90">
        <f t="shared" ref="AY54" si="119">SUM(AY43:AY53)</f>
        <v>26891641.18377804</v>
      </c>
      <c r="AZ54" s="90">
        <f t="shared" si="103"/>
        <v>11783530.126723802</v>
      </c>
      <c r="BA54" s="90">
        <f>SUM(BA43:BA53)</f>
        <v>0</v>
      </c>
      <c r="BB54" s="90">
        <f>SUM(BB44:BB53)</f>
        <v>0</v>
      </c>
      <c r="BC54" s="91">
        <f>SUM(BC44:BC53)</f>
        <v>0</v>
      </c>
      <c r="BD54" s="34">
        <f t="shared" ref="BD54:BG54" si="120">SUM(BD44:BD53)</f>
        <v>0</v>
      </c>
      <c r="BE54" s="90">
        <f t="shared" si="120"/>
        <v>0</v>
      </c>
      <c r="BF54" s="90">
        <f t="shared" si="120"/>
        <v>0</v>
      </c>
      <c r="BG54" s="91">
        <f t="shared" si="120"/>
        <v>0</v>
      </c>
    </row>
    <row r="55" spans="1:59" x14ac:dyDescent="0.2">
      <c r="A55" s="14"/>
      <c r="B55" s="28"/>
      <c r="C55" s="28"/>
      <c r="D55" s="12"/>
      <c r="E55" s="12"/>
      <c r="F55" s="75"/>
      <c r="G55" s="76"/>
      <c r="H55" s="28"/>
      <c r="I55" s="12"/>
      <c r="J55" s="12"/>
      <c r="K55" s="12"/>
      <c r="L55" s="12"/>
      <c r="M55" s="75"/>
      <c r="N55" s="28"/>
      <c r="O55" s="12"/>
      <c r="P55" s="12"/>
      <c r="Q55" s="12"/>
      <c r="R55" s="12"/>
      <c r="S55" s="75"/>
      <c r="T55" s="28"/>
      <c r="U55" s="12"/>
      <c r="V55" s="12"/>
      <c r="W55" s="12"/>
      <c r="X55" s="75"/>
      <c r="Y55" s="76"/>
      <c r="Z55" s="28"/>
      <c r="AA55" s="12"/>
      <c r="AB55" s="12"/>
      <c r="AC55" s="75"/>
      <c r="AD55" s="28"/>
      <c r="AE55" s="75"/>
      <c r="AF55" s="28"/>
      <c r="AG55" s="12"/>
      <c r="AH55" s="12"/>
      <c r="AI55" s="12"/>
      <c r="AJ55" s="12"/>
      <c r="AK55" s="75"/>
      <c r="AL55" s="28"/>
      <c r="AM55" s="12"/>
      <c r="AN55" s="12"/>
      <c r="AO55" s="75"/>
      <c r="AP55" s="28"/>
      <c r="AQ55" s="75"/>
      <c r="AR55" s="28"/>
      <c r="AS55" s="12"/>
      <c r="AT55" s="12"/>
      <c r="AU55" s="12"/>
      <c r="AV55" s="12"/>
      <c r="AW55" s="75"/>
      <c r="AX55" s="28"/>
      <c r="AY55" s="12"/>
      <c r="AZ55" s="12"/>
      <c r="BA55" s="12"/>
      <c r="BB55" s="12"/>
      <c r="BC55" s="75"/>
      <c r="BD55" s="28"/>
      <c r="BE55" s="12"/>
      <c r="BF55" s="12"/>
      <c r="BG55" s="75"/>
    </row>
    <row r="56" spans="1:59" x14ac:dyDescent="0.2">
      <c r="A56" s="14" t="s">
        <v>86</v>
      </c>
      <c r="B56" s="28"/>
      <c r="C56" s="28"/>
      <c r="D56" s="12"/>
      <c r="E56" s="12"/>
      <c r="F56" s="75"/>
      <c r="G56" s="76"/>
      <c r="H56" s="28"/>
      <c r="I56" s="12"/>
      <c r="J56" s="12"/>
      <c r="K56" s="12"/>
      <c r="L56" s="12"/>
      <c r="M56" s="75"/>
      <c r="N56" s="28"/>
      <c r="O56" s="12"/>
      <c r="P56" s="12"/>
      <c r="Q56" s="12"/>
      <c r="R56" s="12"/>
      <c r="S56" s="75"/>
      <c r="T56" s="28"/>
      <c r="U56" s="12"/>
      <c r="V56" s="12"/>
      <c r="W56" s="12"/>
      <c r="X56" s="75"/>
      <c r="Y56" s="76"/>
      <c r="Z56" s="28"/>
      <c r="AA56" s="12"/>
      <c r="AB56" s="12"/>
      <c r="AC56" s="75"/>
      <c r="AD56" s="28"/>
      <c r="AE56" s="75"/>
      <c r="AF56" s="28"/>
      <c r="AG56" s="12"/>
      <c r="AH56" s="12"/>
      <c r="AI56" s="12"/>
      <c r="AJ56" s="12"/>
      <c r="AK56" s="75"/>
      <c r="AL56" s="28"/>
      <c r="AM56" s="12"/>
      <c r="AN56" s="12"/>
      <c r="AO56" s="75"/>
      <c r="AP56" s="28"/>
      <c r="AQ56" s="75"/>
      <c r="AR56" s="28"/>
      <c r="AS56" s="12"/>
      <c r="AT56" s="12"/>
      <c r="AU56" s="12"/>
      <c r="AV56" s="12"/>
      <c r="AW56" s="75"/>
      <c r="AX56" s="28"/>
      <c r="AY56" s="12"/>
      <c r="AZ56" s="12"/>
      <c r="BA56" s="12"/>
      <c r="BB56" s="12"/>
      <c r="BC56" s="75"/>
      <c r="BD56" s="28"/>
      <c r="BE56" s="12"/>
      <c r="BF56" s="12"/>
      <c r="BG56" s="75"/>
    </row>
    <row r="57" spans="1:59" x14ac:dyDescent="0.2">
      <c r="A57" s="14" t="s">
        <v>87</v>
      </c>
      <c r="B57" s="29">
        <f t="shared" ref="B57:B65" si="121">SUM(C57:BG57)</f>
        <v>-48566074.454209499</v>
      </c>
      <c r="C57" s="30"/>
      <c r="D57" s="79"/>
      <c r="E57" s="79"/>
      <c r="F57" s="80"/>
      <c r="G57" s="275"/>
      <c r="H57" s="30"/>
      <c r="I57" s="79"/>
      <c r="J57" s="79"/>
      <c r="K57" s="79"/>
      <c r="L57" s="79"/>
      <c r="M57" s="80"/>
      <c r="N57" s="30"/>
      <c r="O57" s="79"/>
      <c r="P57" s="79"/>
      <c r="Q57" s="79"/>
      <c r="R57" s="79"/>
      <c r="S57" s="80"/>
      <c r="T57" s="30"/>
      <c r="U57" s="79"/>
      <c r="V57" s="79">
        <f>SUM('[7]Page 5.3'!$I$33:$I$34)</f>
        <v>20667243.049652372</v>
      </c>
      <c r="W57" s="79"/>
      <c r="X57" s="80"/>
      <c r="Y57" s="275"/>
      <c r="Z57" s="30"/>
      <c r="AA57" s="79">
        <f>'[27]Page 6.3'!$I$55+'[27]Page 6.3.1'!$I$56+SUM('[27]Page 6.3.2'!$I$10:$I$38)</f>
        <v>-16699601.50878338</v>
      </c>
      <c r="AB57" s="79"/>
      <c r="AC57" s="80"/>
      <c r="AD57" s="30"/>
      <c r="AE57" s="80"/>
      <c r="AF57" s="30"/>
      <c r="AG57" s="79"/>
      <c r="AH57" s="79"/>
      <c r="AI57" s="79"/>
      <c r="AJ57" s="79"/>
      <c r="AK57" s="80"/>
      <c r="AL57" s="30"/>
      <c r="AM57" s="79"/>
      <c r="AN57" s="79"/>
      <c r="AO57" s="80"/>
      <c r="AP57" s="30">
        <f>'[21]Page 8.1'!$I$12+'[21]Page 8.1'!$I$18</f>
        <v>-51242777.651996009</v>
      </c>
      <c r="AQ57" s="80"/>
      <c r="AR57" s="30"/>
      <c r="AS57" s="79"/>
      <c r="AT57" s="79"/>
      <c r="AU57" s="79"/>
      <c r="AV57" s="79"/>
      <c r="AW57" s="80"/>
      <c r="AX57" s="30">
        <f>'[22]Page 8.9'!$I$10</f>
        <v>4148625.7195736552</v>
      </c>
      <c r="AY57" s="79"/>
      <c r="AZ57" s="79">
        <f>'[24]Page 8.11'!$I$28</f>
        <v>-5439564.0626561325</v>
      </c>
      <c r="BA57" s="79"/>
      <c r="BB57" s="79"/>
      <c r="BC57" s="80"/>
      <c r="BD57" s="30"/>
      <c r="BE57" s="79"/>
      <c r="BF57" s="79"/>
      <c r="BG57" s="80"/>
    </row>
    <row r="58" spans="1:59" x14ac:dyDescent="0.2">
      <c r="A58" s="14" t="s">
        <v>88</v>
      </c>
      <c r="B58" s="29">
        <f t="shared" si="121"/>
        <v>-2423618.2104293355</v>
      </c>
      <c r="C58" s="30"/>
      <c r="D58" s="79"/>
      <c r="E58" s="79"/>
      <c r="F58" s="80"/>
      <c r="G58" s="275"/>
      <c r="H58" s="30"/>
      <c r="I58" s="79"/>
      <c r="J58" s="79"/>
      <c r="K58" s="79"/>
      <c r="L58" s="79"/>
      <c r="M58" s="80"/>
      <c r="N58" s="30"/>
      <c r="O58" s="79"/>
      <c r="P58" s="79"/>
      <c r="Q58" s="79"/>
      <c r="R58" s="79"/>
      <c r="S58" s="80"/>
      <c r="T58" s="30"/>
      <c r="U58" s="79"/>
      <c r="V58" s="79"/>
      <c r="W58" s="79"/>
      <c r="X58" s="80"/>
      <c r="Y58" s="275"/>
      <c r="Z58" s="30"/>
      <c r="AA58" s="79">
        <f>SUM('[27]Page 6.3.2'!$I$39:$I$50)+SUM('[27]Page 6.3.3'!$I$10:$I$18)</f>
        <v>-2423618.2104293355</v>
      </c>
      <c r="AB58" s="79"/>
      <c r="AC58" s="80"/>
      <c r="AD58" s="30"/>
      <c r="AE58" s="80"/>
      <c r="AF58" s="30"/>
      <c r="AG58" s="79"/>
      <c r="AH58" s="79"/>
      <c r="AI58" s="79"/>
      <c r="AJ58" s="79"/>
      <c r="AK58" s="80"/>
      <c r="AL58" s="30"/>
      <c r="AM58" s="79"/>
      <c r="AN58" s="79"/>
      <c r="AO58" s="80"/>
      <c r="AP58" s="30"/>
      <c r="AQ58" s="80"/>
      <c r="AR58" s="30"/>
      <c r="AS58" s="79"/>
      <c r="AT58" s="79"/>
      <c r="AU58" s="79"/>
      <c r="AV58" s="79"/>
      <c r="AW58" s="80"/>
      <c r="AX58" s="30"/>
      <c r="AY58" s="79"/>
      <c r="AZ58" s="79"/>
      <c r="BA58" s="79"/>
      <c r="BB58" s="79"/>
      <c r="BC58" s="80"/>
      <c r="BD58" s="30"/>
      <c r="BE58" s="79"/>
      <c r="BF58" s="79"/>
      <c r="BG58" s="80"/>
    </row>
    <row r="59" spans="1:59" x14ac:dyDescent="0.2">
      <c r="A59" s="14" t="s">
        <v>89</v>
      </c>
      <c r="B59" s="29">
        <f t="shared" si="121"/>
        <v>13626096.714858457</v>
      </c>
      <c r="C59" s="30"/>
      <c r="D59" s="79"/>
      <c r="E59" s="79"/>
      <c r="F59" s="80"/>
      <c r="G59" s="275"/>
      <c r="H59" s="30"/>
      <c r="I59" s="79"/>
      <c r="J59" s="79"/>
      <c r="K59" s="79"/>
      <c r="L59" s="79"/>
      <c r="M59" s="80"/>
      <c r="N59" s="30"/>
      <c r="O59" s="79"/>
      <c r="P59" s="79"/>
      <c r="Q59" s="79">
        <f>'[15]Page 4.11'!$I$18+'[15]Page 4.11'!$I$22+'[15]Page 4.11'!$I$26</f>
        <v>-20743.75673634035</v>
      </c>
      <c r="R59" s="79"/>
      <c r="S59" s="80"/>
      <c r="T59" s="30"/>
      <c r="U59" s="79"/>
      <c r="V59" s="79">
        <f>'[7]Page 5.3'!$I$35+'[7]Page 5.3'!$I$42</f>
        <v>1859727.4958688179</v>
      </c>
      <c r="W59" s="79"/>
      <c r="X59" s="80"/>
      <c r="Y59" s="275"/>
      <c r="Z59" s="30"/>
      <c r="AA59" s="79"/>
      <c r="AB59" s="79"/>
      <c r="AC59" s="80"/>
      <c r="AD59" s="30"/>
      <c r="AE59" s="80"/>
      <c r="AF59" s="30"/>
      <c r="AG59" s="79">
        <f>SUM('[28]Page 7.4'!$I$11:$I$16)</f>
        <v>-1037770.8912067187</v>
      </c>
      <c r="AH59" s="79"/>
      <c r="AI59" s="79"/>
      <c r="AJ59" s="79"/>
      <c r="AK59" s="80"/>
      <c r="AL59" s="30"/>
      <c r="AM59" s="79"/>
      <c r="AN59" s="79">
        <f>SUM('[19]Page 7.11'!$I$16:$I$18)</f>
        <v>10547243</v>
      </c>
      <c r="AO59" s="80"/>
      <c r="AP59" s="30"/>
      <c r="AQ59" s="80"/>
      <c r="AR59" s="30"/>
      <c r="AS59" s="79"/>
      <c r="AT59" s="79"/>
      <c r="AU59" s="79"/>
      <c r="AV59" s="79"/>
      <c r="AW59" s="80"/>
      <c r="AX59" s="30">
        <f>'[22]Page 8.9'!$I$15</f>
        <v>2277640.8669327004</v>
      </c>
      <c r="AY59" s="79"/>
      <c r="AZ59" s="79"/>
      <c r="BA59" s="79"/>
      <c r="BB59" s="79"/>
      <c r="BC59" s="80"/>
      <c r="BD59" s="30"/>
      <c r="BE59" s="79"/>
      <c r="BF59" s="79"/>
      <c r="BG59" s="80"/>
    </row>
    <row r="60" spans="1:59" x14ac:dyDescent="0.2">
      <c r="A60" s="14" t="s">
        <v>90</v>
      </c>
      <c r="B60" s="29">
        <f t="shared" si="121"/>
        <v>0</v>
      </c>
      <c r="C60" s="30"/>
      <c r="D60" s="79"/>
      <c r="E60" s="79"/>
      <c r="F60" s="80"/>
      <c r="G60" s="275"/>
      <c r="H60" s="30"/>
      <c r="I60" s="79"/>
      <c r="J60" s="79"/>
      <c r="K60" s="79"/>
      <c r="L60" s="79"/>
      <c r="M60" s="80"/>
      <c r="N60" s="30"/>
      <c r="O60" s="79"/>
      <c r="P60" s="79"/>
      <c r="Q60" s="79"/>
      <c r="R60" s="79"/>
      <c r="S60" s="80"/>
      <c r="T60" s="30"/>
      <c r="U60" s="79"/>
      <c r="V60" s="79"/>
      <c r="W60" s="79"/>
      <c r="X60" s="80"/>
      <c r="Y60" s="275"/>
      <c r="Z60" s="30"/>
      <c r="AA60" s="79"/>
      <c r="AB60" s="79"/>
      <c r="AC60" s="80"/>
      <c r="AD60" s="30"/>
      <c r="AE60" s="80"/>
      <c r="AF60" s="30"/>
      <c r="AG60" s="79"/>
      <c r="AH60" s="79"/>
      <c r="AI60" s="79"/>
      <c r="AJ60" s="79"/>
      <c r="AK60" s="80"/>
      <c r="AL60" s="30"/>
      <c r="AM60" s="79"/>
      <c r="AN60" s="79"/>
      <c r="AO60" s="80"/>
      <c r="AP60" s="30"/>
      <c r="AQ60" s="80"/>
      <c r="AR60" s="30"/>
      <c r="AS60" s="79"/>
      <c r="AT60" s="79"/>
      <c r="AU60" s="79"/>
      <c r="AV60" s="79"/>
      <c r="AW60" s="80"/>
      <c r="AX60" s="30"/>
      <c r="AY60" s="79"/>
      <c r="AZ60" s="79"/>
      <c r="BA60" s="79"/>
      <c r="BB60" s="79"/>
      <c r="BC60" s="80"/>
      <c r="BD60" s="30"/>
      <c r="BE60" s="79"/>
      <c r="BF60" s="79"/>
      <c r="BG60" s="80"/>
    </row>
    <row r="61" spans="1:59" x14ac:dyDescent="0.2">
      <c r="A61" s="14" t="s">
        <v>91</v>
      </c>
      <c r="B61" s="29">
        <f t="shared" si="121"/>
        <v>-2502028.2767103352</v>
      </c>
      <c r="C61" s="30"/>
      <c r="D61" s="79"/>
      <c r="E61" s="79"/>
      <c r="F61" s="80"/>
      <c r="G61" s="275"/>
      <c r="H61" s="30"/>
      <c r="I61" s="79"/>
      <c r="J61" s="79"/>
      <c r="K61" s="79"/>
      <c r="L61" s="79"/>
      <c r="M61" s="80"/>
      <c r="N61" s="30"/>
      <c r="O61" s="79"/>
      <c r="P61" s="79"/>
      <c r="Q61" s="79"/>
      <c r="R61" s="79"/>
      <c r="S61" s="80"/>
      <c r="T61" s="30"/>
      <c r="U61" s="79"/>
      <c r="V61" s="79"/>
      <c r="W61" s="79"/>
      <c r="X61" s="80"/>
      <c r="Y61" s="275"/>
      <c r="Z61" s="30"/>
      <c r="AA61" s="79"/>
      <c r="AB61" s="79"/>
      <c r="AC61" s="80"/>
      <c r="AD61" s="30"/>
      <c r="AE61" s="80"/>
      <c r="AF61" s="30"/>
      <c r="AG61" s="79"/>
      <c r="AH61" s="79"/>
      <c r="AI61" s="79"/>
      <c r="AJ61" s="79"/>
      <c r="AK61" s="80"/>
      <c r="AL61" s="30"/>
      <c r="AM61" s="79"/>
      <c r="AN61" s="79"/>
      <c r="AO61" s="80"/>
      <c r="AP61" s="30"/>
      <c r="AQ61" s="80"/>
      <c r="AR61" s="30">
        <f>'[29]Page 8.3'!$I$20</f>
        <v>-2502028.2767103352</v>
      </c>
      <c r="AS61" s="79"/>
      <c r="AT61" s="79"/>
      <c r="AU61" s="79"/>
      <c r="AV61" s="79"/>
      <c r="AW61" s="80"/>
      <c r="AX61" s="30"/>
      <c r="AY61" s="79"/>
      <c r="AZ61" s="79"/>
      <c r="BA61" s="79"/>
      <c r="BB61" s="79"/>
      <c r="BC61" s="80"/>
      <c r="BD61" s="30"/>
      <c r="BE61" s="79"/>
      <c r="BF61" s="79"/>
      <c r="BG61" s="80"/>
    </row>
    <row r="62" spans="1:59" x14ac:dyDescent="0.2">
      <c r="A62" s="14" t="s">
        <v>92</v>
      </c>
      <c r="B62" s="29">
        <f t="shared" si="121"/>
        <v>-2829106.1541666668</v>
      </c>
      <c r="C62" s="30"/>
      <c r="D62" s="79"/>
      <c r="E62" s="79"/>
      <c r="F62" s="80"/>
      <c r="G62" s="275"/>
      <c r="H62" s="30"/>
      <c r="I62" s="79"/>
      <c r="J62" s="79"/>
      <c r="K62" s="79"/>
      <c r="L62" s="79"/>
      <c r="M62" s="80"/>
      <c r="N62" s="30"/>
      <c r="O62" s="79"/>
      <c r="P62" s="79"/>
      <c r="Q62" s="79"/>
      <c r="R62" s="79"/>
      <c r="S62" s="80"/>
      <c r="T62" s="30"/>
      <c r="U62" s="79"/>
      <c r="V62" s="79"/>
      <c r="W62" s="79"/>
      <c r="X62" s="80"/>
      <c r="Y62" s="275"/>
      <c r="Z62" s="30"/>
      <c r="AA62" s="79"/>
      <c r="AB62" s="79"/>
      <c r="AC62" s="80"/>
      <c r="AD62" s="30"/>
      <c r="AE62" s="80"/>
      <c r="AF62" s="30"/>
      <c r="AG62" s="79"/>
      <c r="AH62" s="79"/>
      <c r="AI62" s="79"/>
      <c r="AJ62" s="79"/>
      <c r="AK62" s="80"/>
      <c r="AL62" s="30"/>
      <c r="AM62" s="79"/>
      <c r="AN62" s="79"/>
      <c r="AO62" s="80"/>
      <c r="AP62" s="30"/>
      <c r="AQ62" s="80"/>
      <c r="AR62" s="30"/>
      <c r="AS62" s="79"/>
      <c r="AT62" s="79"/>
      <c r="AU62" s="79"/>
      <c r="AV62" s="79">
        <f>'[20]Page 8.7'!$I$14</f>
        <v>-2829106.1541666668</v>
      </c>
      <c r="AW62" s="80"/>
      <c r="AX62" s="30"/>
      <c r="AY62" s="79"/>
      <c r="AZ62" s="79"/>
      <c r="BA62" s="79"/>
      <c r="BB62" s="79"/>
      <c r="BC62" s="80"/>
      <c r="BD62" s="30"/>
      <c r="BE62" s="79"/>
      <c r="BF62" s="79"/>
      <c r="BG62" s="80"/>
    </row>
    <row r="63" spans="1:59" x14ac:dyDescent="0.2">
      <c r="A63" s="14" t="s">
        <v>93</v>
      </c>
      <c r="B63" s="29">
        <f t="shared" si="121"/>
        <v>4129504.8610232491</v>
      </c>
      <c r="C63" s="30"/>
      <c r="D63" s="79"/>
      <c r="E63" s="79"/>
      <c r="F63" s="80"/>
      <c r="G63" s="275"/>
      <c r="H63" s="30"/>
      <c r="I63" s="79"/>
      <c r="J63" s="79"/>
      <c r="K63" s="79"/>
      <c r="L63" s="79"/>
      <c r="M63" s="80"/>
      <c r="N63" s="30"/>
      <c r="O63" s="79"/>
      <c r="P63" s="79"/>
      <c r="Q63" s="79"/>
      <c r="R63" s="79"/>
      <c r="S63" s="80"/>
      <c r="T63" s="30"/>
      <c r="U63" s="79"/>
      <c r="V63" s="79"/>
      <c r="W63" s="79"/>
      <c r="X63" s="80"/>
      <c r="Y63" s="275"/>
      <c r="Z63" s="30"/>
      <c r="AA63" s="79"/>
      <c r="AB63" s="79"/>
      <c r="AC63" s="80"/>
      <c r="AD63" s="30"/>
      <c r="AE63" s="80"/>
      <c r="AF63" s="30"/>
      <c r="AG63" s="79"/>
      <c r="AH63" s="79"/>
      <c r="AI63" s="79"/>
      <c r="AJ63" s="79"/>
      <c r="AK63" s="80"/>
      <c r="AL63" s="30"/>
      <c r="AM63" s="79"/>
      <c r="AN63" s="79">
        <f>SUM('[19]Page 7.11'!$I$10:$I$12)</f>
        <v>3070693</v>
      </c>
      <c r="AO63" s="80"/>
      <c r="AP63" s="30"/>
      <c r="AQ63" s="80"/>
      <c r="AR63" s="30"/>
      <c r="AS63" s="79"/>
      <c r="AT63" s="79">
        <f>'[25]Pages 8.5 - 8.5.1'!$I$113</f>
        <v>1058811.8610232489</v>
      </c>
      <c r="AU63" s="79"/>
      <c r="AV63" s="79"/>
      <c r="AW63" s="80"/>
      <c r="AX63" s="30"/>
      <c r="AY63" s="79"/>
      <c r="AZ63" s="79"/>
      <c r="BA63" s="79"/>
      <c r="BB63" s="79"/>
      <c r="BC63" s="80"/>
      <c r="BD63" s="30"/>
      <c r="BE63" s="79"/>
      <c r="BF63" s="79"/>
      <c r="BG63" s="80"/>
    </row>
    <row r="64" spans="1:59" x14ac:dyDescent="0.2">
      <c r="A64" s="14"/>
      <c r="B64" s="28">
        <f t="shared" si="121"/>
        <v>0</v>
      </c>
      <c r="C64" s="28"/>
      <c r="D64" s="12"/>
      <c r="E64" s="12"/>
      <c r="F64" s="75"/>
      <c r="G64" s="76"/>
      <c r="H64" s="28"/>
      <c r="I64" s="12"/>
      <c r="J64" s="12"/>
      <c r="K64" s="12"/>
      <c r="L64" s="12"/>
      <c r="M64" s="75"/>
      <c r="N64" s="28"/>
      <c r="O64" s="12"/>
      <c r="P64" s="12"/>
      <c r="Q64" s="12"/>
      <c r="R64" s="12"/>
      <c r="S64" s="75"/>
      <c r="T64" s="28"/>
      <c r="U64" s="12"/>
      <c r="V64" s="12"/>
      <c r="W64" s="12"/>
      <c r="X64" s="75"/>
      <c r="Y64" s="76"/>
      <c r="Z64" s="28"/>
      <c r="AA64" s="12"/>
      <c r="AB64" s="12"/>
      <c r="AC64" s="75"/>
      <c r="AD64" s="28"/>
      <c r="AE64" s="75"/>
      <c r="AF64" s="28"/>
      <c r="AG64" s="12"/>
      <c r="AH64" s="12"/>
      <c r="AI64" s="12"/>
      <c r="AJ64" s="12"/>
      <c r="AK64" s="75"/>
      <c r="AL64" s="28"/>
      <c r="AM64" s="12"/>
      <c r="AN64" s="12"/>
      <c r="AO64" s="75"/>
      <c r="AP64" s="28"/>
      <c r="AQ64" s="75"/>
      <c r="AR64" s="28"/>
      <c r="AS64" s="12"/>
      <c r="AT64" s="12"/>
      <c r="AU64" s="12"/>
      <c r="AV64" s="12"/>
      <c r="AW64" s="75"/>
      <c r="AX64" s="28"/>
      <c r="AY64" s="12"/>
      <c r="AZ64" s="12"/>
      <c r="BA64" s="12"/>
      <c r="BB64" s="12"/>
      <c r="BC64" s="75"/>
      <c r="BD64" s="28"/>
      <c r="BE64" s="12"/>
      <c r="BF64" s="12"/>
      <c r="BG64" s="75"/>
    </row>
    <row r="65" spans="1:59" x14ac:dyDescent="0.2">
      <c r="A65" s="14" t="s">
        <v>94</v>
      </c>
      <c r="B65" s="31">
        <f t="shared" si="121"/>
        <v>-38565225.51963412</v>
      </c>
      <c r="C65" s="31">
        <f t="shared" ref="C65:AZ65" si="122">SUM(C57:C64)</f>
        <v>0</v>
      </c>
      <c r="D65" s="81">
        <f t="shared" si="122"/>
        <v>0</v>
      </c>
      <c r="E65" s="81">
        <f t="shared" ref="E65" si="123">SUM(E57:E64)</f>
        <v>0</v>
      </c>
      <c r="F65" s="82">
        <f t="shared" si="122"/>
        <v>0</v>
      </c>
      <c r="G65" s="151">
        <f t="shared" si="122"/>
        <v>0</v>
      </c>
      <c r="H65" s="31">
        <f t="shared" si="122"/>
        <v>0</v>
      </c>
      <c r="I65" s="81">
        <f t="shared" si="122"/>
        <v>0</v>
      </c>
      <c r="J65" s="81">
        <f t="shared" si="122"/>
        <v>0</v>
      </c>
      <c r="K65" s="81">
        <f t="shared" ref="K65:L65" si="124">SUM(K57:K64)</f>
        <v>0</v>
      </c>
      <c r="L65" s="81">
        <f t="shared" si="124"/>
        <v>0</v>
      </c>
      <c r="M65" s="82">
        <f t="shared" si="122"/>
        <v>0</v>
      </c>
      <c r="N65" s="31">
        <f t="shared" si="122"/>
        <v>0</v>
      </c>
      <c r="O65" s="81">
        <f t="shared" ref="O65:R65" si="125">SUM(O57:O64)</f>
        <v>0</v>
      </c>
      <c r="P65" s="81">
        <f t="shared" si="125"/>
        <v>0</v>
      </c>
      <c r="Q65" s="81">
        <f t="shared" si="125"/>
        <v>-20743.75673634035</v>
      </c>
      <c r="R65" s="81">
        <f t="shared" si="125"/>
        <v>0</v>
      </c>
      <c r="S65" s="82">
        <f t="shared" ref="S65:AB65" si="126">SUM(S57:S64)</f>
        <v>0</v>
      </c>
      <c r="T65" s="31">
        <f t="shared" si="126"/>
        <v>0</v>
      </c>
      <c r="U65" s="81">
        <f t="shared" si="126"/>
        <v>0</v>
      </c>
      <c r="V65" s="81">
        <f t="shared" ref="V65:X65" si="127">SUM(V57:V64)</f>
        <v>22526970.545521189</v>
      </c>
      <c r="W65" s="81">
        <f t="shared" si="127"/>
        <v>0</v>
      </c>
      <c r="X65" s="82">
        <f t="shared" si="127"/>
        <v>0</v>
      </c>
      <c r="Y65" s="151">
        <f t="shared" ref="Y65:Z65" si="128">SUM(Y57:Y64)</f>
        <v>0</v>
      </c>
      <c r="Z65" s="31">
        <f t="shared" si="128"/>
        <v>0</v>
      </c>
      <c r="AA65" s="81">
        <f t="shared" ref="AA65" si="129">SUM(AA57:AA64)</f>
        <v>-19123219.719212715</v>
      </c>
      <c r="AB65" s="81">
        <f t="shared" si="126"/>
        <v>0</v>
      </c>
      <c r="AC65" s="82">
        <f t="shared" ref="AC65" si="130">SUM(AC57:AC64)</f>
        <v>0</v>
      </c>
      <c r="AD65" s="31">
        <f t="shared" si="122"/>
        <v>0</v>
      </c>
      <c r="AE65" s="82">
        <f t="shared" ref="AE65" si="131">SUM(AE57:AE64)</f>
        <v>0</v>
      </c>
      <c r="AF65" s="31">
        <f t="shared" si="122"/>
        <v>0</v>
      </c>
      <c r="AG65" s="81">
        <f t="shared" ref="AG65" si="132">SUM(AG57:AG64)</f>
        <v>-1037770.8912067187</v>
      </c>
      <c r="AH65" s="81">
        <f t="shared" si="122"/>
        <v>0</v>
      </c>
      <c r="AI65" s="81">
        <f t="shared" si="122"/>
        <v>0</v>
      </c>
      <c r="AJ65" s="81">
        <f t="shared" ref="AJ65" si="133">SUM(AJ57:AJ64)</f>
        <v>0</v>
      </c>
      <c r="AK65" s="82">
        <f t="shared" ref="AK65" si="134">SUM(AK57:AK64)</f>
        <v>0</v>
      </c>
      <c r="AL65" s="31">
        <f t="shared" ref="AL65:AO65" si="135">SUM(AL57:AL64)</f>
        <v>0</v>
      </c>
      <c r="AM65" s="81">
        <f t="shared" si="135"/>
        <v>0</v>
      </c>
      <c r="AN65" s="81">
        <f t="shared" si="135"/>
        <v>13617936</v>
      </c>
      <c r="AO65" s="82">
        <f t="shared" si="135"/>
        <v>0</v>
      </c>
      <c r="AP65" s="31">
        <f t="shared" si="122"/>
        <v>-51242777.651996009</v>
      </c>
      <c r="AQ65" s="82">
        <f t="shared" si="122"/>
        <v>0</v>
      </c>
      <c r="AR65" s="31">
        <f t="shared" si="122"/>
        <v>-2502028.2767103352</v>
      </c>
      <c r="AS65" s="81">
        <f t="shared" si="122"/>
        <v>0</v>
      </c>
      <c r="AT65" s="81">
        <f t="shared" ref="AT65" si="136">SUM(AT57:AT64)</f>
        <v>1058811.8610232489</v>
      </c>
      <c r="AU65" s="81">
        <f t="shared" ref="AU65" si="137">SUM(AU57:AU64)</f>
        <v>0</v>
      </c>
      <c r="AV65" s="81">
        <f t="shared" si="122"/>
        <v>-2829106.1541666668</v>
      </c>
      <c r="AW65" s="82">
        <f t="shared" si="122"/>
        <v>0</v>
      </c>
      <c r="AX65" s="31">
        <f t="shared" si="122"/>
        <v>6426266.5865063556</v>
      </c>
      <c r="AY65" s="81">
        <f t="shared" ref="AY65" si="138">SUM(AY57:AY64)</f>
        <v>0</v>
      </c>
      <c r="AZ65" s="81">
        <f t="shared" si="122"/>
        <v>-5439564.0626561325</v>
      </c>
      <c r="BA65" s="81">
        <f>SUM(BA57:BA64)</f>
        <v>0</v>
      </c>
      <c r="BB65" s="81">
        <f>SUM(BB60:BB64)</f>
        <v>0</v>
      </c>
      <c r="BC65" s="82">
        <f>SUM(BC60:BC64)</f>
        <v>0</v>
      </c>
      <c r="BD65" s="31">
        <f t="shared" ref="BD65:BG65" si="139">SUM(BD60:BD64)</f>
        <v>0</v>
      </c>
      <c r="BE65" s="81">
        <f t="shared" si="139"/>
        <v>0</v>
      </c>
      <c r="BF65" s="81">
        <f t="shared" si="139"/>
        <v>0</v>
      </c>
      <c r="BG65" s="82">
        <f t="shared" si="139"/>
        <v>0</v>
      </c>
    </row>
    <row r="66" spans="1:59" x14ac:dyDescent="0.2">
      <c r="A66" s="14"/>
      <c r="B66" s="28"/>
      <c r="C66" s="28"/>
      <c r="D66" s="12"/>
      <c r="E66" s="12"/>
      <c r="F66" s="75"/>
      <c r="G66" s="76"/>
      <c r="H66" s="28"/>
      <c r="I66" s="12"/>
      <c r="J66" s="12"/>
      <c r="K66" s="12"/>
      <c r="L66" s="12"/>
      <c r="M66" s="75"/>
      <c r="N66" s="28"/>
      <c r="O66" s="12"/>
      <c r="P66" s="12"/>
      <c r="Q66" s="12"/>
      <c r="R66" s="12"/>
      <c r="S66" s="75"/>
      <c r="T66" s="28"/>
      <c r="U66" s="12"/>
      <c r="V66" s="12"/>
      <c r="W66" s="12"/>
      <c r="X66" s="75"/>
      <c r="Y66" s="76"/>
      <c r="Z66" s="28"/>
      <c r="AA66" s="12"/>
      <c r="AB66" s="12"/>
      <c r="AC66" s="75"/>
      <c r="AD66" s="28"/>
      <c r="AE66" s="75"/>
      <c r="AF66" s="28"/>
      <c r="AG66" s="12"/>
      <c r="AH66" s="12"/>
      <c r="AI66" s="12"/>
      <c r="AJ66" s="12"/>
      <c r="AK66" s="75"/>
      <c r="AL66" s="28"/>
      <c r="AM66" s="12"/>
      <c r="AN66" s="12"/>
      <c r="AO66" s="75"/>
      <c r="AP66" s="28"/>
      <c r="AQ66" s="75"/>
      <c r="AR66" s="28"/>
      <c r="AS66" s="12"/>
      <c r="AT66" s="12"/>
      <c r="AU66" s="12"/>
      <c r="AV66" s="12"/>
      <c r="AW66" s="75"/>
      <c r="AX66" s="28"/>
      <c r="AY66" s="12"/>
      <c r="AZ66" s="12"/>
      <c r="BA66" s="12"/>
      <c r="BB66" s="12"/>
      <c r="BC66" s="75"/>
      <c r="BD66" s="28"/>
      <c r="BE66" s="12"/>
      <c r="BF66" s="12"/>
      <c r="BG66" s="75"/>
    </row>
    <row r="67" spans="1:59" ht="13.5" thickBot="1" x14ac:dyDescent="0.25">
      <c r="A67" s="14" t="s">
        <v>95</v>
      </c>
      <c r="B67" s="35">
        <f>SUM(C67:BG67)</f>
        <v>-9693249.0691386759</v>
      </c>
      <c r="C67" s="35">
        <f t="shared" ref="C67:AZ67" si="140">C54+C65</f>
        <v>0</v>
      </c>
      <c r="D67" s="92">
        <f t="shared" si="140"/>
        <v>0</v>
      </c>
      <c r="E67" s="92">
        <f t="shared" ref="E67" si="141">E54+E65</f>
        <v>0</v>
      </c>
      <c r="F67" s="155">
        <f t="shared" si="140"/>
        <v>0</v>
      </c>
      <c r="G67" s="154">
        <f t="shared" si="140"/>
        <v>0</v>
      </c>
      <c r="H67" s="35">
        <f t="shared" si="140"/>
        <v>0</v>
      </c>
      <c r="I67" s="92">
        <f t="shared" si="140"/>
        <v>0</v>
      </c>
      <c r="J67" s="92">
        <f t="shared" si="140"/>
        <v>0</v>
      </c>
      <c r="K67" s="92">
        <f t="shared" ref="K67:L67" si="142">K54+K65</f>
        <v>0</v>
      </c>
      <c r="L67" s="92">
        <f t="shared" si="142"/>
        <v>0</v>
      </c>
      <c r="M67" s="155">
        <f t="shared" si="140"/>
        <v>0</v>
      </c>
      <c r="N67" s="35">
        <f t="shared" si="140"/>
        <v>0</v>
      </c>
      <c r="O67" s="92">
        <f t="shared" ref="O67:R67" si="143">O54+O65</f>
        <v>0</v>
      </c>
      <c r="P67" s="92">
        <f t="shared" si="143"/>
        <v>0</v>
      </c>
      <c r="Q67" s="92">
        <f t="shared" si="143"/>
        <v>-20743.75673634035</v>
      </c>
      <c r="R67" s="92">
        <f t="shared" si="143"/>
        <v>0</v>
      </c>
      <c r="S67" s="155">
        <f t="shared" ref="S67:V67" si="144">S54+S65</f>
        <v>0</v>
      </c>
      <c r="T67" s="35"/>
      <c r="U67" s="92"/>
      <c r="V67" s="92">
        <f t="shared" si="144"/>
        <v>-5100655.5156755038</v>
      </c>
      <c r="W67" s="92">
        <f t="shared" ref="W67:X67" si="145">W54+W65</f>
        <v>0</v>
      </c>
      <c r="X67" s="155">
        <f t="shared" si="145"/>
        <v>0</v>
      </c>
      <c r="Y67" s="154">
        <f t="shared" ref="Y67:Z67" si="146">Y54+Y65</f>
        <v>0</v>
      </c>
      <c r="Z67" s="35">
        <f t="shared" si="146"/>
        <v>0</v>
      </c>
      <c r="AA67" s="92">
        <f t="shared" ref="AA67" si="147">AA54+AA65</f>
        <v>-19123219.719212715</v>
      </c>
      <c r="AB67" s="92">
        <f t="shared" ref="AB67:AC67" si="148">AB54+AB65</f>
        <v>0</v>
      </c>
      <c r="AC67" s="155">
        <f t="shared" si="148"/>
        <v>0</v>
      </c>
      <c r="AD67" s="35">
        <f t="shared" si="140"/>
        <v>0</v>
      </c>
      <c r="AE67" s="155">
        <f t="shared" ref="AE67" si="149">AE54+AE65</f>
        <v>0</v>
      </c>
      <c r="AF67" s="35">
        <f t="shared" si="140"/>
        <v>0</v>
      </c>
      <c r="AG67" s="92">
        <f t="shared" ref="AG67" si="150">AG54+AG65</f>
        <v>-1037770.8912067187</v>
      </c>
      <c r="AH67" s="92">
        <f t="shared" si="140"/>
        <v>0</v>
      </c>
      <c r="AI67" s="92">
        <f t="shared" si="140"/>
        <v>0</v>
      </c>
      <c r="AJ67" s="92">
        <f t="shared" ref="AJ67" si="151">AJ54+AJ65</f>
        <v>0</v>
      </c>
      <c r="AK67" s="155">
        <f t="shared" ref="AK67" si="152">AK54+AK65</f>
        <v>0</v>
      </c>
      <c r="AL67" s="35">
        <f t="shared" ref="AL67:AO67" si="153">AL54+AL65</f>
        <v>0</v>
      </c>
      <c r="AM67" s="92">
        <f t="shared" si="153"/>
        <v>0</v>
      </c>
      <c r="AN67" s="92">
        <f t="shared" si="153"/>
        <v>13617936</v>
      </c>
      <c r="AO67" s="155">
        <f t="shared" si="153"/>
        <v>0</v>
      </c>
      <c r="AP67" s="35">
        <f t="shared" si="140"/>
        <v>15873600.909273006</v>
      </c>
      <c r="AQ67" s="155">
        <f t="shared" si="140"/>
        <v>0</v>
      </c>
      <c r="AR67" s="35">
        <f t="shared" si="140"/>
        <v>-2502028.2767103352</v>
      </c>
      <c r="AS67" s="92">
        <f t="shared" si="140"/>
        <v>0</v>
      </c>
      <c r="AT67" s="92">
        <f t="shared" ref="AT67" si="154">AT54+AT65</f>
        <v>-22786730.767553866</v>
      </c>
      <c r="AU67" s="92">
        <f t="shared" ref="AU67" si="155">AU54+AU65</f>
        <v>0</v>
      </c>
      <c r="AV67" s="92">
        <f t="shared" si="140"/>
        <v>-2829106.1541666668</v>
      </c>
      <c r="AW67" s="155">
        <f t="shared" si="140"/>
        <v>23459504.952026334</v>
      </c>
      <c r="AX67" s="35">
        <f t="shared" si="140"/>
        <v>-42479643.09702158</v>
      </c>
      <c r="AY67" s="92">
        <f t="shared" ref="AY67" si="156">AY54+AY65</f>
        <v>26891641.18377804</v>
      </c>
      <c r="AZ67" s="92">
        <f t="shared" si="140"/>
        <v>6343966.0640676692</v>
      </c>
      <c r="BA67" s="92">
        <f t="shared" ref="BA67:BB67" si="157">BA54+BA65</f>
        <v>0</v>
      </c>
      <c r="BB67" s="92">
        <f t="shared" si="157"/>
        <v>0</v>
      </c>
      <c r="BC67" s="155">
        <f t="shared" ref="BC67" si="158">BC54+BC65</f>
        <v>0</v>
      </c>
      <c r="BD67" s="35">
        <f t="shared" ref="BD67:BG67" si="159">BD54+BD65</f>
        <v>0</v>
      </c>
      <c r="BE67" s="92">
        <f t="shared" si="159"/>
        <v>0</v>
      </c>
      <c r="BF67" s="92">
        <f t="shared" si="159"/>
        <v>0</v>
      </c>
      <c r="BG67" s="155">
        <f t="shared" si="159"/>
        <v>0</v>
      </c>
    </row>
    <row r="68" spans="1:59" ht="13.5" thickTop="1" x14ac:dyDescent="0.2">
      <c r="A68" s="14"/>
      <c r="B68" s="28"/>
      <c r="C68" s="28"/>
      <c r="D68" s="12"/>
      <c r="E68" s="12"/>
      <c r="F68" s="75"/>
      <c r="G68" s="76"/>
      <c r="H68" s="28"/>
      <c r="I68" s="12"/>
      <c r="J68" s="12"/>
      <c r="K68" s="12"/>
      <c r="L68" s="12"/>
      <c r="M68" s="75"/>
      <c r="N68" s="28"/>
      <c r="O68" s="12"/>
      <c r="P68" s="12"/>
      <c r="Q68" s="12"/>
      <c r="R68" s="12"/>
      <c r="S68" s="75"/>
      <c r="T68" s="28"/>
      <c r="U68" s="12"/>
      <c r="V68" s="12"/>
      <c r="W68" s="12"/>
      <c r="X68" s="75"/>
      <c r="Y68" s="76"/>
      <c r="Z68" s="28"/>
      <c r="AA68" s="12"/>
      <c r="AB68" s="12"/>
      <c r="AC68" s="75"/>
      <c r="AD68" s="28"/>
      <c r="AE68" s="75"/>
      <c r="AF68" s="28"/>
      <c r="AG68" s="12"/>
      <c r="AH68" s="12"/>
      <c r="AI68" s="12"/>
      <c r="AJ68" s="12"/>
      <c r="AK68" s="75"/>
      <c r="AL68" s="28"/>
      <c r="AM68" s="12"/>
      <c r="AN68" s="12"/>
      <c r="AO68" s="75"/>
      <c r="AP68" s="28"/>
      <c r="AQ68" s="75"/>
      <c r="AR68" s="28"/>
      <c r="AS68" s="12"/>
      <c r="AT68" s="12"/>
      <c r="AU68" s="12"/>
      <c r="AV68" s="12"/>
      <c r="AW68" s="75"/>
      <c r="AX68" s="28"/>
      <c r="AY68" s="12"/>
      <c r="AZ68" s="12"/>
      <c r="BA68" s="12"/>
      <c r="BB68" s="12"/>
      <c r="BC68" s="75"/>
      <c r="BD68" s="28"/>
      <c r="BE68" s="12"/>
      <c r="BF68" s="12"/>
      <c r="BG68" s="75"/>
    </row>
    <row r="69" spans="1:59" x14ac:dyDescent="0.2">
      <c r="A69" s="14"/>
      <c r="B69" s="28"/>
      <c r="C69" s="28"/>
      <c r="D69" s="12"/>
      <c r="E69" s="12"/>
      <c r="F69" s="75"/>
      <c r="G69" s="76"/>
      <c r="H69" s="28"/>
      <c r="I69" s="12"/>
      <c r="J69" s="12"/>
      <c r="K69" s="12"/>
      <c r="L69" s="12"/>
      <c r="M69" s="75"/>
      <c r="N69" s="28"/>
      <c r="O69" s="12"/>
      <c r="P69" s="12"/>
      <c r="Q69" s="12"/>
      <c r="R69" s="12"/>
      <c r="S69" s="75"/>
      <c r="T69" s="28"/>
      <c r="U69" s="12"/>
      <c r="V69" s="12"/>
      <c r="W69" s="12"/>
      <c r="X69" s="75"/>
      <c r="Y69" s="76"/>
      <c r="Z69" s="28"/>
      <c r="AA69" s="12"/>
      <c r="AB69" s="12"/>
      <c r="AC69" s="75"/>
      <c r="AD69" s="28"/>
      <c r="AE69" s="75"/>
      <c r="AF69" s="28"/>
      <c r="AG69" s="12"/>
      <c r="AH69" s="12"/>
      <c r="AI69" s="12"/>
      <c r="AJ69" s="12"/>
      <c r="AK69" s="75"/>
      <c r="AL69" s="28"/>
      <c r="AM69" s="12"/>
      <c r="AN69" s="12"/>
      <c r="AO69" s="75"/>
      <c r="AP69" s="28"/>
      <c r="AQ69" s="75"/>
      <c r="AR69" s="28"/>
      <c r="AS69" s="12"/>
      <c r="AT69" s="12"/>
      <c r="AU69" s="12"/>
      <c r="AV69" s="12"/>
      <c r="AW69" s="75"/>
      <c r="AX69" s="28"/>
      <c r="AY69" s="12"/>
      <c r="AZ69" s="12"/>
      <c r="BA69" s="12"/>
      <c r="BB69" s="12"/>
      <c r="BC69" s="75"/>
      <c r="BD69" s="28"/>
      <c r="BE69" s="12"/>
      <c r="BF69" s="12"/>
      <c r="BG69" s="75"/>
    </row>
    <row r="70" spans="1:59" s="187" customFormat="1" x14ac:dyDescent="0.2">
      <c r="A70" s="237" t="s">
        <v>149</v>
      </c>
      <c r="B70" s="17">
        <f t="shared" ref="B70:AZ70" si="160">(((B40+Unadj_Op_revenue)/(B67+Unadj_rate_base))-Weighted_cost_debt-Weighted_cost_pref)/Percent_common-Unadj_ROE</f>
        <v>6.8810828183813122E-2</v>
      </c>
      <c r="C70" s="17">
        <f t="shared" si="160"/>
        <v>-1.2479161579267525E-2</v>
      </c>
      <c r="D70" s="16">
        <f t="shared" si="160"/>
        <v>5.6606858750334998E-2</v>
      </c>
      <c r="E70" s="16">
        <f t="shared" ref="E70" si="161">(((E40+Unadj_Op_revenue)/(E67+Unadj_rate_base))-Weighted_cost_debt-Weighted_cost_pref)/Percent_common-Unadj_ROE</f>
        <v>-2.044123852415064E-4</v>
      </c>
      <c r="F70" s="18">
        <f t="shared" ref="F70" si="162">(((F40+Unadj_Op_revenue)/(F67+Unadj_rate_base))-Weighted_cost_debt-Weighted_cost_pref)/Percent_common-Unadj_ROE</f>
        <v>0</v>
      </c>
      <c r="G70" s="19">
        <f t="shared" si="160"/>
        <v>4.0738881110725933E-4</v>
      </c>
      <c r="H70" s="17">
        <f t="shared" si="160"/>
        <v>-3.4354389544480335E-4</v>
      </c>
      <c r="I70" s="16">
        <f t="shared" si="160"/>
        <v>0</v>
      </c>
      <c r="J70" s="16">
        <f t="shared" si="160"/>
        <v>1.2722175902334792E-3</v>
      </c>
      <c r="K70" s="16">
        <f t="shared" ref="K70:L70" si="163">(((K40+Unadj_Op_revenue)/(K67+Unadj_rate_base))-Weighted_cost_debt-Weighted_cost_pref)/Percent_common-Unadj_ROE</f>
        <v>2.5098829392569688E-5</v>
      </c>
      <c r="L70" s="16">
        <f t="shared" si="163"/>
        <v>-3.0648583650663697E-5</v>
      </c>
      <c r="M70" s="18">
        <f t="shared" si="160"/>
        <v>-1.2019480698866047E-4</v>
      </c>
      <c r="N70" s="17">
        <f t="shared" si="160"/>
        <v>-7.5172151514896202E-5</v>
      </c>
      <c r="O70" s="16">
        <f t="shared" si="160"/>
        <v>0</v>
      </c>
      <c r="P70" s="16">
        <f t="shared" ref="P70:R70" si="164">(((P40+Unadj_Op_revenue)/(P67+Unadj_rate_base))-Weighted_cost_debt-Weighted_cost_pref)/Percent_common-Unadj_ROE</f>
        <v>-4.8689566232303083E-4</v>
      </c>
      <c r="Q70" s="16">
        <f t="shared" si="164"/>
        <v>-8.4275756127590029E-4</v>
      </c>
      <c r="R70" s="16">
        <f t="shared" si="164"/>
        <v>-1.9619497574592526E-4</v>
      </c>
      <c r="S70" s="18">
        <f t="shared" si="160"/>
        <v>-6.5796206670576396E-5</v>
      </c>
      <c r="T70" s="17">
        <f t="shared" ref="T70:U70" si="165">(((T40+Unadj_Op_revenue)/(T67+Unadj_rate_base))-Weighted_cost_debt-Weighted_cost_pref)/Percent_common-Unadj_ROE</f>
        <v>1.095717413871844E-2</v>
      </c>
      <c r="U70" s="16">
        <f t="shared" si="165"/>
        <v>0</v>
      </c>
      <c r="V70" s="16">
        <f t="shared" ref="V70:X70" si="166">(((V40+Unadj_Op_revenue)/(V67+Unadj_rate_base))-Weighted_cost_debt-Weighted_cost_pref)/Percent_common-Unadj_ROE</f>
        <v>2.1265950682291396E-3</v>
      </c>
      <c r="W70" s="16">
        <f t="shared" si="166"/>
        <v>0</v>
      </c>
      <c r="X70" s="18">
        <f t="shared" si="166"/>
        <v>0</v>
      </c>
      <c r="Y70" s="19">
        <f t="shared" ref="Y70:AB70" si="167">(((Y40+Unadj_Op_revenue)/(Y67+Unadj_rate_base))-Weighted_cost_debt-Weighted_cost_pref)/Percent_common-Unadj_ROE</f>
        <v>0</v>
      </c>
      <c r="Z70" s="17">
        <f t="shared" ref="Z70:AA70" si="168">(((Z40+Unadj_Op_revenue)/(Z67+Unadj_rate_base))-Weighted_cost_debt-Weighted_cost_pref)/Percent_common-Unadj_ROE</f>
        <v>0</v>
      </c>
      <c r="AA70" s="16">
        <f t="shared" si="168"/>
        <v>4.0521641616954179E-3</v>
      </c>
      <c r="AB70" s="16">
        <f t="shared" si="167"/>
        <v>0</v>
      </c>
      <c r="AC70" s="18">
        <f t="shared" ref="AC70" si="169">(((AC40+Unadj_Op_revenue)/(AC67+Unadj_rate_base))-Weighted_cost_debt-Weighted_cost_pref)/Percent_common-Unadj_ROE</f>
        <v>0</v>
      </c>
      <c r="AD70" s="17">
        <f t="shared" si="160"/>
        <v>-2.1007318189386753E-3</v>
      </c>
      <c r="AE70" s="18">
        <f t="shared" ref="AE70" si="170">(((AE40+Unadj_Op_revenue)/(AE67+Unadj_rate_base))-Weighted_cost_debt-Weighted_cost_pref)/Percent_common-Unadj_ROE</f>
        <v>0</v>
      </c>
      <c r="AF70" s="17">
        <f t="shared" si="160"/>
        <v>0</v>
      </c>
      <c r="AG70" s="16">
        <f t="shared" ref="AG70" si="171">(((AG40+Unadj_Op_revenue)/(AG67+Unadj_rate_base))-Weighted_cost_debt-Weighted_cost_pref)/Percent_common-Unadj_ROE</f>
        <v>2.1478708826401516E-4</v>
      </c>
      <c r="AH70" s="16">
        <f t="shared" si="160"/>
        <v>0</v>
      </c>
      <c r="AI70" s="16">
        <f t="shared" si="160"/>
        <v>0</v>
      </c>
      <c r="AJ70" s="16">
        <f t="shared" si="160"/>
        <v>4.8336711098517782E-4</v>
      </c>
      <c r="AK70" s="18">
        <f t="shared" ref="AK70" si="172">(((AK40+Unadj_Op_revenue)/(AK67+Unadj_rate_base))-Weighted_cost_debt-Weighted_cost_pref)/Percent_common-Unadj_ROE</f>
        <v>-2.3710527552039951E-6</v>
      </c>
      <c r="AL70" s="17">
        <f t="shared" ref="AL70:AO70" si="173">(((AL40+Unadj_Op_revenue)/(AL67+Unadj_rate_base))-Weighted_cost_debt-Weighted_cost_pref)/Percent_common-Unadj_ROE</f>
        <v>0</v>
      </c>
      <c r="AM70" s="16">
        <f t="shared" si="173"/>
        <v>0</v>
      </c>
      <c r="AN70" s="16">
        <f t="shared" si="173"/>
        <v>9.2328223438137569E-3</v>
      </c>
      <c r="AO70" s="18">
        <f t="shared" si="173"/>
        <v>0</v>
      </c>
      <c r="AP70" s="17">
        <f t="shared" si="160"/>
        <v>-3.2154296530871179E-3</v>
      </c>
      <c r="AQ70" s="18">
        <f t="shared" si="160"/>
        <v>0</v>
      </c>
      <c r="AR70" s="17">
        <f t="shared" si="160"/>
        <v>5.1882082745594027E-4</v>
      </c>
      <c r="AS70" s="16">
        <f t="shared" si="160"/>
        <v>0</v>
      </c>
      <c r="AT70" s="16">
        <f t="shared" ref="AT70" si="174">(((AT40+Unadj_Op_revenue)/(AT67+Unadj_rate_base))-Weighted_cost_debt-Weighted_cost_pref)/Percent_common-Unadj_ROE</f>
        <v>4.8518542878057402E-3</v>
      </c>
      <c r="AU70" s="16">
        <f t="shared" si="160"/>
        <v>0</v>
      </c>
      <c r="AV70" s="16">
        <f t="shared" si="160"/>
        <v>4.6982175120713343E-4</v>
      </c>
      <c r="AW70" s="18">
        <f t="shared" si="160"/>
        <v>-4.7071256870334643E-3</v>
      </c>
      <c r="AX70" s="17">
        <f t="shared" si="160"/>
        <v>9.2868993893657215E-3</v>
      </c>
      <c r="AY70" s="16">
        <f t="shared" ref="AY70" si="175">(((AY40+Unadj_Op_revenue)/(AY67+Unadj_rate_base))-Weighted_cost_debt-Weighted_cost_pref)/Percent_common-Unadj_ROE</f>
        <v>-5.3727921633775072E-3</v>
      </c>
      <c r="AZ70" s="16">
        <f t="shared" si="160"/>
        <v>-1.3006623257802719E-3</v>
      </c>
      <c r="BA70" s="16">
        <f t="shared" ref="BA70:BB70" si="176">(((BA40+Unadj_Op_revenue)/(BA67+Unadj_rate_base))-Weighted_cost_debt-Weighted_cost_pref)/Percent_common-Unadj_ROE</f>
        <v>0</v>
      </c>
      <c r="BB70" s="16">
        <f t="shared" si="176"/>
        <v>0</v>
      </c>
      <c r="BC70" s="18">
        <f t="shared" ref="BC70" si="177">(((BC40+Unadj_Op_revenue)/(BC67+Unadj_rate_base))-Weighted_cost_debt-Weighted_cost_pref)/Percent_common-Unadj_ROE</f>
        <v>0</v>
      </c>
      <c r="BD70" s="17">
        <f t="shared" ref="BD70:BG70" si="178">(((BD40+Unadj_Op_revenue)/(BD67+Unadj_rate_base))-Weighted_cost_debt-Weighted_cost_pref)/Percent_common-Unadj_ROE</f>
        <v>0</v>
      </c>
      <c r="BE70" s="16">
        <f t="shared" si="178"/>
        <v>0</v>
      </c>
      <c r="BF70" s="16">
        <f t="shared" si="178"/>
        <v>0</v>
      </c>
      <c r="BG70" s="18">
        <f t="shared" si="178"/>
        <v>0</v>
      </c>
    </row>
    <row r="71" spans="1:59" x14ac:dyDescent="0.2">
      <c r="A71" s="14" t="s">
        <v>43</v>
      </c>
      <c r="B71" s="36">
        <f>SUM(C71:BG71)</f>
        <v>-36823154.545951024</v>
      </c>
      <c r="C71" s="36">
        <f t="shared" ref="C71:AZ71" si="179">-(C40-(C67*Overall_ROR))/gross_up_factor</f>
        <v>6780264.2270464059</v>
      </c>
      <c r="D71" s="93">
        <f t="shared" si="179"/>
        <v>-30756029.317547593</v>
      </c>
      <c r="E71" s="93">
        <f t="shared" ref="E71" si="180">-(E40-(E67*Overall_ROR))/gross_up_factor</f>
        <v>111062.74843983988</v>
      </c>
      <c r="F71" s="157">
        <f t="shared" ref="F71" si="181">-(F40-(F67*Overall_ROR))/gross_up_factor</f>
        <v>0</v>
      </c>
      <c r="G71" s="156">
        <f t="shared" si="179"/>
        <v>-221345.30151757802</v>
      </c>
      <c r="H71" s="36">
        <f t="shared" si="179"/>
        <v>186656.64114601974</v>
      </c>
      <c r="I71" s="93">
        <f t="shared" si="179"/>
        <v>0</v>
      </c>
      <c r="J71" s="93">
        <f t="shared" si="179"/>
        <v>-691230.04468587413</v>
      </c>
      <c r="K71" s="93">
        <f t="shared" ref="K71:L71" si="182">-(K40-(K67*Overall_ROR))/gross_up_factor</f>
        <v>-13636.869271247004</v>
      </c>
      <c r="L71" s="93">
        <f t="shared" si="182"/>
        <v>16652.200070990391</v>
      </c>
      <c r="M71" s="157">
        <f t="shared" si="179"/>
        <v>65305.072374091229</v>
      </c>
      <c r="N71" s="36">
        <f t="shared" si="179"/>
        <v>40843.052359645561</v>
      </c>
      <c r="O71" s="93">
        <f t="shared" si="179"/>
        <v>0</v>
      </c>
      <c r="P71" s="93">
        <f t="shared" ref="P71:R71" si="183">-(P40-(P67*Overall_ROR))/gross_up_factor</f>
        <v>264543.51284604659</v>
      </c>
      <c r="Q71" s="93">
        <f t="shared" si="183"/>
        <v>458090.87173366011</v>
      </c>
      <c r="R71" s="93">
        <f t="shared" si="183"/>
        <v>106598.00877859717</v>
      </c>
      <c r="S71" s="157">
        <f t="shared" si="179"/>
        <v>35748.84927404832</v>
      </c>
      <c r="T71" s="36">
        <f t="shared" ref="T71:U71" si="184">-(T40-(T67*Overall_ROR))/gross_up_factor</f>
        <v>-5953327.5028426554</v>
      </c>
      <c r="U71" s="93">
        <f t="shared" si="184"/>
        <v>0</v>
      </c>
      <c r="V71" s="93">
        <f t="shared" ref="V71:X71" si="185">-(V40-(V67*Overall_ROR))/gross_up_factor</f>
        <v>-1096178.9907136585</v>
      </c>
      <c r="W71" s="93">
        <f t="shared" si="185"/>
        <v>0</v>
      </c>
      <c r="X71" s="157">
        <f t="shared" si="185"/>
        <v>0</v>
      </c>
      <c r="Y71" s="156">
        <f t="shared" ref="Y71:AB71" si="186">-(Y40-(Y67*Overall_ROR))/gross_up_factor</f>
        <v>0</v>
      </c>
      <c r="Z71" s="36">
        <f t="shared" ref="Z71:AA71" si="187">-(Z40-(Z67*Overall_ROR))/gross_up_factor</f>
        <v>0</v>
      </c>
      <c r="AA71" s="93">
        <f t="shared" si="187"/>
        <v>-1953791.2889789753</v>
      </c>
      <c r="AB71" s="93">
        <f t="shared" si="186"/>
        <v>0</v>
      </c>
      <c r="AC71" s="157">
        <f t="shared" ref="AC71" si="188">-(AC40-(AC67*Overall_ROR))/gross_up_factor</f>
        <v>0</v>
      </c>
      <c r="AD71" s="36">
        <f t="shared" si="179"/>
        <v>1141384.1155988886</v>
      </c>
      <c r="AE71" s="157">
        <f t="shared" ref="AE71" si="189">-(AE40-(AE67*Overall_ROR))/gross_up_factor</f>
        <v>0</v>
      </c>
      <c r="AF71" s="36">
        <f t="shared" si="179"/>
        <v>0</v>
      </c>
      <c r="AG71" s="93">
        <f t="shared" ref="AG71" si="190">-(AG40-(AG67*Overall_ROR))/gross_up_factor</f>
        <v>-106027.52867805824</v>
      </c>
      <c r="AH71" s="93">
        <f t="shared" si="179"/>
        <v>0</v>
      </c>
      <c r="AI71" s="93">
        <f t="shared" si="179"/>
        <v>0</v>
      </c>
      <c r="AJ71" s="93">
        <f t="shared" si="179"/>
        <v>-262626.35597158602</v>
      </c>
      <c r="AK71" s="157">
        <f t="shared" ref="AK71" si="191">-(AK40-(AK67*Overall_ROR))/gross_up_factor</f>
        <v>1288.2567530212616</v>
      </c>
      <c r="AL71" s="36">
        <f t="shared" ref="AL71:AO71" si="192">-(AL40-(AL67*Overall_ROR))/gross_up_factor</f>
        <v>0</v>
      </c>
      <c r="AM71" s="93">
        <f t="shared" si="192"/>
        <v>0</v>
      </c>
      <c r="AN71" s="93">
        <f t="shared" si="192"/>
        <v>-5242169.8048817897</v>
      </c>
      <c r="AO71" s="157">
        <f t="shared" si="192"/>
        <v>0</v>
      </c>
      <c r="AP71" s="36">
        <f t="shared" si="179"/>
        <v>1621782.5050719623</v>
      </c>
      <c r="AQ71" s="157">
        <f t="shared" si="179"/>
        <v>0</v>
      </c>
      <c r="AR71" s="36">
        <f t="shared" si="179"/>
        <v>-255628.55646658764</v>
      </c>
      <c r="AS71" s="93">
        <f t="shared" si="179"/>
        <v>0</v>
      </c>
      <c r="AT71" s="93">
        <f t="shared" ref="AT71" si="193">-(AT40-(AT67*Overall_ROR))/gross_up_factor</f>
        <v>-2328086.8353579119</v>
      </c>
      <c r="AU71" s="93">
        <f t="shared" si="179"/>
        <v>0</v>
      </c>
      <c r="AV71" s="93">
        <f t="shared" si="179"/>
        <v>-225669.82280453044</v>
      </c>
      <c r="AW71" s="157">
        <f t="shared" si="179"/>
        <v>2396823.1862639068</v>
      </c>
      <c r="AX71" s="36">
        <f t="shared" si="179"/>
        <v>-4340082.7821118357</v>
      </c>
      <c r="AY71" s="93">
        <f t="shared" ref="AY71" si="194">-(AY40-(AY67*Overall_ROR))/gross_up_factor</f>
        <v>2747479.5072519747</v>
      </c>
      <c r="AZ71" s="93">
        <f t="shared" si="179"/>
        <v>648153.70086977852</v>
      </c>
      <c r="BA71" s="93">
        <f t="shared" ref="BA71:BB71" si="195">-(BA40-(BA67*Overall_ROR))/gross_up_factor</f>
        <v>0</v>
      </c>
      <c r="BB71" s="93">
        <f t="shared" si="195"/>
        <v>0</v>
      </c>
      <c r="BC71" s="157">
        <f t="shared" ref="BC71" si="196">-(BC40-(BC67*Overall_ROR))/gross_up_factor</f>
        <v>0</v>
      </c>
      <c r="BD71" s="36">
        <f t="shared" ref="BD71:BG71" si="197">-(BD40-(BD67*Overall_ROR))/gross_up_factor</f>
        <v>0</v>
      </c>
      <c r="BE71" s="93">
        <f t="shared" si="197"/>
        <v>0</v>
      </c>
      <c r="BF71" s="93">
        <f t="shared" si="197"/>
        <v>0</v>
      </c>
      <c r="BG71" s="157">
        <f t="shared" si="197"/>
        <v>0</v>
      </c>
    </row>
    <row r="72" spans="1:59" x14ac:dyDescent="0.2">
      <c r="A72" s="14"/>
      <c r="B72" s="17"/>
      <c r="C72" s="17"/>
      <c r="D72" s="16"/>
      <c r="E72" s="16"/>
      <c r="F72" s="18"/>
      <c r="G72" s="19"/>
      <c r="H72" s="17"/>
      <c r="I72" s="16"/>
      <c r="J72" s="16"/>
      <c r="K72" s="16"/>
      <c r="L72" s="16"/>
      <c r="M72" s="18"/>
      <c r="N72" s="17"/>
      <c r="O72" s="16"/>
      <c r="P72" s="16"/>
      <c r="Q72" s="16"/>
      <c r="R72" s="16"/>
      <c r="S72" s="18"/>
      <c r="T72" s="17"/>
      <c r="U72" s="16"/>
      <c r="V72" s="16"/>
      <c r="W72" s="16"/>
      <c r="X72" s="18"/>
      <c r="Y72" s="19"/>
      <c r="Z72" s="17"/>
      <c r="AA72" s="16"/>
      <c r="AB72" s="16"/>
      <c r="AC72" s="18"/>
      <c r="AD72" s="17"/>
      <c r="AE72" s="18"/>
      <c r="AF72" s="17"/>
      <c r="AG72" s="16"/>
      <c r="AH72" s="16"/>
      <c r="AI72" s="16"/>
      <c r="AJ72" s="16"/>
      <c r="AK72" s="18"/>
      <c r="AL72" s="17"/>
      <c r="AM72" s="16"/>
      <c r="AN72" s="16"/>
      <c r="AO72" s="18"/>
      <c r="AP72" s="17"/>
      <c r="AQ72" s="18"/>
      <c r="AR72" s="17"/>
      <c r="AS72" s="16"/>
      <c r="AT72" s="16"/>
      <c r="AU72" s="16"/>
      <c r="AV72" s="16"/>
      <c r="AW72" s="18"/>
      <c r="AX72" s="17"/>
      <c r="AY72" s="16"/>
      <c r="AZ72" s="16"/>
      <c r="BA72" s="16"/>
      <c r="BB72" s="16"/>
      <c r="BC72" s="18"/>
      <c r="BD72" s="17"/>
      <c r="BE72" s="16"/>
      <c r="BF72" s="16"/>
      <c r="BG72" s="18"/>
    </row>
    <row r="73" spans="1:59" x14ac:dyDescent="0.2">
      <c r="A73" s="14" t="s">
        <v>97</v>
      </c>
      <c r="B73" s="28"/>
      <c r="C73" s="28"/>
      <c r="D73" s="12"/>
      <c r="E73" s="12"/>
      <c r="F73" s="75"/>
      <c r="G73" s="76"/>
      <c r="H73" s="28"/>
      <c r="I73" s="12"/>
      <c r="J73" s="12"/>
      <c r="K73" s="12"/>
      <c r="L73" s="12"/>
      <c r="M73" s="75"/>
      <c r="N73" s="28"/>
      <c r="O73" s="12"/>
      <c r="P73" s="12"/>
      <c r="Q73" s="12"/>
      <c r="R73" s="12"/>
      <c r="S73" s="75"/>
      <c r="T73" s="28"/>
      <c r="U73" s="12"/>
      <c r="V73" s="12"/>
      <c r="W73" s="12"/>
      <c r="X73" s="75"/>
      <c r="Y73" s="76"/>
      <c r="Z73" s="28"/>
      <c r="AA73" s="12"/>
      <c r="AB73" s="12"/>
      <c r="AC73" s="75"/>
      <c r="AD73" s="28"/>
      <c r="AE73" s="75"/>
      <c r="AF73" s="28"/>
      <c r="AG73" s="12"/>
      <c r="AH73" s="12"/>
      <c r="AI73" s="12"/>
      <c r="AJ73" s="12"/>
      <c r="AK73" s="75"/>
      <c r="AL73" s="28"/>
      <c r="AM73" s="12"/>
      <c r="AN73" s="12"/>
      <c r="AO73" s="75"/>
      <c r="AP73" s="28"/>
      <c r="AQ73" s="75"/>
      <c r="AR73" s="28"/>
      <c r="AS73" s="12"/>
      <c r="AT73" s="12"/>
      <c r="AU73" s="12"/>
      <c r="AV73" s="12"/>
      <c r="AW73" s="75"/>
      <c r="AX73" s="28"/>
      <c r="AY73" s="12"/>
      <c r="AZ73" s="12"/>
      <c r="BA73" s="12"/>
      <c r="BB73" s="12"/>
      <c r="BC73" s="75"/>
      <c r="BD73" s="28"/>
      <c r="BE73" s="12"/>
      <c r="BF73" s="12"/>
      <c r="BG73" s="75"/>
    </row>
    <row r="74" spans="1:59" x14ac:dyDescent="0.2">
      <c r="A74" s="14" t="s">
        <v>98</v>
      </c>
      <c r="B74" s="36">
        <f t="shared" ref="B74:B79" si="198">SUM(C74:BG74)</f>
        <v>28949324.612968698</v>
      </c>
      <c r="C74" s="36">
        <f t="shared" ref="C74:AZ74" si="199">C16-C29-C30-C31-C32-C37</f>
        <v>-6463994.9400000004</v>
      </c>
      <c r="D74" s="93">
        <f t="shared" si="199"/>
        <v>29321396.810773376</v>
      </c>
      <c r="E74" s="93">
        <f t="shared" ref="E74" si="200">E16-E29-E30-E31-E32-E37</f>
        <v>-105882.16327527266</v>
      </c>
      <c r="F74" s="157">
        <f t="shared" si="199"/>
        <v>0</v>
      </c>
      <c r="G74" s="156">
        <f t="shared" si="199"/>
        <v>211020.52384552389</v>
      </c>
      <c r="H74" s="36">
        <f t="shared" si="199"/>
        <v>-177949.93579636046</v>
      </c>
      <c r="I74" s="93">
        <f>I16-I29-I30-I31-I32-I37</f>
        <v>0</v>
      </c>
      <c r="J74" s="93">
        <f t="shared" si="199"/>
        <v>658987.22551286849</v>
      </c>
      <c r="K74" s="93">
        <f t="shared" ref="K74:L74" si="201">K16-K29-K30-K31-K32-K37</f>
        <v>13000.76973625276</v>
      </c>
      <c r="L74" s="93">
        <f t="shared" si="201"/>
        <v>-15875.448713248625</v>
      </c>
      <c r="M74" s="157">
        <f t="shared" si="199"/>
        <v>-62258.880074109882</v>
      </c>
      <c r="N74" s="36">
        <f t="shared" si="199"/>
        <v>-38937.904917300068</v>
      </c>
      <c r="O74" s="93">
        <f t="shared" si="199"/>
        <v>0</v>
      </c>
      <c r="P74" s="93">
        <f t="shared" ref="P74:R74" si="202">P16-P29-P30-P31-P32-P37</f>
        <v>-252203.73</v>
      </c>
      <c r="Q74" s="93">
        <f t="shared" si="202"/>
        <v>-438379.12901055615</v>
      </c>
      <c r="R74" s="93">
        <f t="shared" si="202"/>
        <v>-101625.68393873476</v>
      </c>
      <c r="S74" s="157">
        <f t="shared" si="199"/>
        <v>-34081.323836391755</v>
      </c>
      <c r="T74" s="36">
        <f t="shared" ref="T74:U74" si="203">T16-T29-T30-T31-T32-T37</f>
        <v>5675631.15033664</v>
      </c>
      <c r="U74" s="93">
        <f t="shared" si="203"/>
        <v>0</v>
      </c>
      <c r="V74" s="93">
        <f t="shared" ref="V74:X74" si="204">V16-V29-V30-V31-V32-V37</f>
        <v>570520.87232600781</v>
      </c>
      <c r="W74" s="93">
        <f t="shared" si="204"/>
        <v>0</v>
      </c>
      <c r="X74" s="157">
        <f t="shared" si="204"/>
        <v>0</v>
      </c>
      <c r="Y74" s="156">
        <f t="shared" ref="Y74:AB74" si="205">Y16-Y29-Y30-Y31-Y32-Y37</f>
        <v>0</v>
      </c>
      <c r="Z74" s="36">
        <f t="shared" ref="Z74:AA74" si="206">Z16-Z29-Z30-Z31-Z32-Z37</f>
        <v>0</v>
      </c>
      <c r="AA74" s="93">
        <f t="shared" si="206"/>
        <v>0</v>
      </c>
      <c r="AB74" s="93">
        <f t="shared" si="205"/>
        <v>0</v>
      </c>
      <c r="AC74" s="157">
        <f t="shared" ref="AC74" si="207">AC16-AC29-AC30-AC31-AC32-AC37</f>
        <v>0</v>
      </c>
      <c r="AD74" s="36">
        <f t="shared" si="199"/>
        <v>0</v>
      </c>
      <c r="AE74" s="157">
        <f t="shared" ref="AE74" si="208">AE16-AE29-AE30-AE31-AE32-AE37</f>
        <v>0</v>
      </c>
      <c r="AF74" s="36">
        <f t="shared" si="199"/>
        <v>0</v>
      </c>
      <c r="AG74" s="93">
        <f t="shared" ref="AG74" si="209">AG16-AG29-AG30-AG31-AG32-AG37</f>
        <v>0</v>
      </c>
      <c r="AH74" s="93">
        <f t="shared" si="199"/>
        <v>0</v>
      </c>
      <c r="AI74" s="93">
        <f t="shared" si="199"/>
        <v>0</v>
      </c>
      <c r="AJ74" s="93">
        <f t="shared" si="199"/>
        <v>250376</v>
      </c>
      <c r="AK74" s="157">
        <f t="shared" ref="AK74" si="210">AK16-AK29-AK30-AK31-AK32-AK37</f>
        <v>0</v>
      </c>
      <c r="AL74" s="36">
        <f t="shared" ref="AL74:AO74" si="211">AL16-AL29-AL30-AL31-AL32-AL37</f>
        <v>0</v>
      </c>
      <c r="AM74" s="93">
        <f t="shared" si="211"/>
        <v>0</v>
      </c>
      <c r="AN74" s="93">
        <f t="shared" si="211"/>
        <v>0</v>
      </c>
      <c r="AO74" s="157">
        <f t="shared" si="211"/>
        <v>0</v>
      </c>
      <c r="AP74" s="36">
        <f t="shared" si="199"/>
        <v>0</v>
      </c>
      <c r="AQ74" s="157">
        <f t="shared" si="199"/>
        <v>0</v>
      </c>
      <c r="AR74" s="36">
        <f t="shared" si="199"/>
        <v>0</v>
      </c>
      <c r="AS74" s="93">
        <f t="shared" si="199"/>
        <v>0</v>
      </c>
      <c r="AT74" s="93">
        <f t="shared" ref="AT74" si="212">AT16-AT29-AT30-AT31-AT32-AT37</f>
        <v>0</v>
      </c>
      <c r="AU74" s="93">
        <f t="shared" si="199"/>
        <v>0</v>
      </c>
      <c r="AV74" s="93">
        <f t="shared" si="199"/>
        <v>-60419.600000000006</v>
      </c>
      <c r="AW74" s="157">
        <f t="shared" si="199"/>
        <v>0</v>
      </c>
      <c r="AX74" s="36">
        <f t="shared" si="199"/>
        <v>0</v>
      </c>
      <c r="AY74" s="93">
        <f t="shared" ref="AY74" si="213">AY16-AY29-AY30-AY31-AY32-AY37</f>
        <v>0</v>
      </c>
      <c r="AZ74" s="93">
        <f t="shared" si="199"/>
        <v>0</v>
      </c>
      <c r="BA74" s="93">
        <f t="shared" ref="BA74:BB74" si="214">BA16-BA29-BA30-BA31-BA32-BA37</f>
        <v>0</v>
      </c>
      <c r="BB74" s="93">
        <f t="shared" si="214"/>
        <v>0</v>
      </c>
      <c r="BC74" s="157">
        <f t="shared" ref="BC74" si="215">BC16-BC29-BC30-BC31-BC32-BC37</f>
        <v>0</v>
      </c>
      <c r="BD74" s="36">
        <f t="shared" ref="BD74:BG74" si="216">BD16-BD29-BD30-BD31-BD32-BD37</f>
        <v>0</v>
      </c>
      <c r="BE74" s="93">
        <f t="shared" si="216"/>
        <v>0</v>
      </c>
      <c r="BF74" s="93">
        <f t="shared" si="216"/>
        <v>0</v>
      </c>
      <c r="BG74" s="157">
        <f t="shared" si="216"/>
        <v>0</v>
      </c>
    </row>
    <row r="75" spans="1:59" x14ac:dyDescent="0.2">
      <c r="A75" s="14" t="s">
        <v>99</v>
      </c>
      <c r="B75" s="36">
        <f t="shared" si="198"/>
        <v>0</v>
      </c>
      <c r="C75" s="28"/>
      <c r="D75" s="12"/>
      <c r="E75" s="12"/>
      <c r="F75" s="75"/>
      <c r="G75" s="76"/>
      <c r="H75" s="28"/>
      <c r="I75" s="12"/>
      <c r="J75" s="12"/>
      <c r="K75" s="12"/>
      <c r="L75" s="12"/>
      <c r="M75" s="75"/>
      <c r="N75" s="28"/>
      <c r="O75" s="12"/>
      <c r="P75" s="12"/>
      <c r="Q75" s="12"/>
      <c r="R75" s="12"/>
      <c r="S75" s="75"/>
      <c r="T75" s="28"/>
      <c r="U75" s="12"/>
      <c r="V75" s="12"/>
      <c r="W75" s="12"/>
      <c r="X75" s="75"/>
      <c r="Y75" s="76"/>
      <c r="Z75" s="28"/>
      <c r="AA75" s="12"/>
      <c r="AB75" s="12"/>
      <c r="AC75" s="75"/>
      <c r="AD75" s="28"/>
      <c r="AE75" s="75"/>
      <c r="AF75" s="28"/>
      <c r="AG75" s="12"/>
      <c r="AH75" s="12"/>
      <c r="AI75" s="12"/>
      <c r="AJ75" s="12"/>
      <c r="AK75" s="75"/>
      <c r="AL75" s="28"/>
      <c r="AM75" s="12"/>
      <c r="AN75" s="12"/>
      <c r="AO75" s="75"/>
      <c r="AP75" s="28"/>
      <c r="AQ75" s="75"/>
      <c r="AR75" s="28"/>
      <c r="AS75" s="12"/>
      <c r="AT75" s="12"/>
      <c r="AU75" s="12"/>
      <c r="AV75" s="12"/>
      <c r="AW75" s="75"/>
      <c r="AX75" s="28"/>
      <c r="AY75" s="12"/>
      <c r="AZ75" s="12"/>
      <c r="BA75" s="12"/>
      <c r="BB75" s="12"/>
      <c r="BC75" s="75"/>
      <c r="BD75" s="28"/>
      <c r="BE75" s="12"/>
      <c r="BF75" s="12"/>
      <c r="BG75" s="75"/>
    </row>
    <row r="76" spans="1:59" x14ac:dyDescent="0.2">
      <c r="A76" s="14" t="s">
        <v>100</v>
      </c>
      <c r="B76" s="36">
        <f t="shared" si="198"/>
        <v>-4620.2408263712532</v>
      </c>
      <c r="C76" s="29"/>
      <c r="D76" s="77"/>
      <c r="E76" s="77"/>
      <c r="F76" s="78"/>
      <c r="G76" s="87"/>
      <c r="H76" s="29"/>
      <c r="I76" s="77"/>
      <c r="J76" s="77"/>
      <c r="K76" s="77"/>
      <c r="L76" s="77"/>
      <c r="M76" s="78"/>
      <c r="N76" s="29"/>
      <c r="O76" s="77"/>
      <c r="P76" s="77"/>
      <c r="Q76" s="77"/>
      <c r="R76" s="77"/>
      <c r="S76" s="78"/>
      <c r="T76" s="29"/>
      <c r="U76" s="77"/>
      <c r="V76" s="77"/>
      <c r="W76" s="77"/>
      <c r="X76" s="78"/>
      <c r="Y76" s="87"/>
      <c r="Z76" s="29"/>
      <c r="AA76" s="77"/>
      <c r="AB76" s="77"/>
      <c r="AC76" s="78"/>
      <c r="AD76" s="29"/>
      <c r="AE76" s="78"/>
      <c r="AF76" s="29"/>
      <c r="AG76" s="77"/>
      <c r="AH76" s="77"/>
      <c r="AI76" s="77"/>
      <c r="AJ76" s="77"/>
      <c r="AK76" s="78">
        <f>'[30]Page 7.8'!$I$9</f>
        <v>-4620.2408263712532</v>
      </c>
      <c r="AL76" s="29"/>
      <c r="AM76" s="77"/>
      <c r="AN76" s="77"/>
      <c r="AO76" s="78"/>
      <c r="AP76" s="29"/>
      <c r="AQ76" s="78"/>
      <c r="AR76" s="29"/>
      <c r="AS76" s="77"/>
      <c r="AT76" s="77"/>
      <c r="AU76" s="77"/>
      <c r="AV76" s="77"/>
      <c r="AW76" s="78"/>
      <c r="AX76" s="29"/>
      <c r="AY76" s="77"/>
      <c r="AZ76" s="77"/>
      <c r="BA76" s="77"/>
      <c r="BB76" s="77"/>
      <c r="BC76" s="78"/>
      <c r="BD76" s="29"/>
      <c r="BE76" s="77"/>
      <c r="BF76" s="77"/>
      <c r="BG76" s="78"/>
    </row>
    <row r="77" spans="1:59" x14ac:dyDescent="0.2">
      <c r="A77" s="14" t="s">
        <v>101</v>
      </c>
      <c r="B77" s="36">
        <f t="shared" si="198"/>
        <v>-4093492.6031585857</v>
      </c>
      <c r="C77" s="29"/>
      <c r="D77" s="77"/>
      <c r="E77" s="77"/>
      <c r="F77" s="78"/>
      <c r="G77" s="87"/>
      <c r="H77" s="29"/>
      <c r="I77" s="77"/>
      <c r="J77" s="77"/>
      <c r="K77" s="77"/>
      <c r="L77" s="77"/>
      <c r="M77" s="78"/>
      <c r="N77" s="29"/>
      <c r="O77" s="77"/>
      <c r="P77" s="77"/>
      <c r="Q77" s="77"/>
      <c r="R77" s="77"/>
      <c r="S77" s="78"/>
      <c r="T77" s="29"/>
      <c r="U77" s="77"/>
      <c r="V77" s="77"/>
      <c r="W77" s="77"/>
      <c r="X77" s="78"/>
      <c r="Y77" s="87"/>
      <c r="Z77" s="29"/>
      <c r="AA77" s="77"/>
      <c r="AB77" s="77"/>
      <c r="AC77" s="78"/>
      <c r="AD77" s="29">
        <f>'Interest Calc'!C16</f>
        <v>-4093492.6031585857</v>
      </c>
      <c r="AE77" s="78"/>
      <c r="AF77" s="29"/>
      <c r="AG77" s="77"/>
      <c r="AH77" s="77"/>
      <c r="AI77" s="77"/>
      <c r="AJ77" s="77"/>
      <c r="AK77" s="78"/>
      <c r="AL77" s="29"/>
      <c r="AM77" s="77"/>
      <c r="AN77" s="77"/>
      <c r="AO77" s="78"/>
      <c r="AP77" s="29"/>
      <c r="AQ77" s="78"/>
      <c r="AR77" s="29"/>
      <c r="AS77" s="77"/>
      <c r="AT77" s="77"/>
      <c r="AU77" s="77"/>
      <c r="AV77" s="77"/>
      <c r="AW77" s="78"/>
      <c r="AX77" s="29"/>
      <c r="AY77" s="77"/>
      <c r="AZ77" s="77"/>
      <c r="BA77" s="77"/>
      <c r="BB77" s="77"/>
      <c r="BC77" s="78"/>
      <c r="BD77" s="29"/>
      <c r="BE77" s="77"/>
      <c r="BF77" s="77"/>
      <c r="BG77" s="78"/>
    </row>
    <row r="78" spans="1:59" x14ac:dyDescent="0.2">
      <c r="A78" s="14" t="s">
        <v>102</v>
      </c>
      <c r="B78" s="36">
        <f t="shared" si="198"/>
        <v>-185916.44429361407</v>
      </c>
      <c r="C78" s="29"/>
      <c r="D78" s="77"/>
      <c r="E78" s="77"/>
      <c r="F78" s="78"/>
      <c r="G78" s="87"/>
      <c r="H78" s="29"/>
      <c r="I78" s="77"/>
      <c r="J78" s="77"/>
      <c r="K78" s="77"/>
      <c r="L78" s="77"/>
      <c r="M78" s="78"/>
      <c r="N78" s="29"/>
      <c r="O78" s="77"/>
      <c r="P78" s="77"/>
      <c r="Q78" s="77">
        <f>'[15]Page 4.11'!$I$20+'[15]Page 4.11'!$I$24</f>
        <v>-133728.44429361407</v>
      </c>
      <c r="R78" s="77"/>
      <c r="S78" s="78"/>
      <c r="T78" s="29"/>
      <c r="U78" s="77"/>
      <c r="V78" s="77">
        <f>'[7]Page 5.3'!$I$40</f>
        <v>-52188</v>
      </c>
      <c r="W78" s="77"/>
      <c r="X78" s="78"/>
      <c r="Y78" s="87"/>
      <c r="Z78" s="29"/>
      <c r="AA78" s="77"/>
      <c r="AB78" s="77"/>
      <c r="AC78" s="78"/>
      <c r="AD78" s="29"/>
      <c r="AE78" s="78"/>
      <c r="AF78" s="29"/>
      <c r="AG78" s="77"/>
      <c r="AH78" s="77"/>
      <c r="AI78" s="77"/>
      <c r="AJ78" s="77"/>
      <c r="AK78" s="78"/>
      <c r="AL78" s="29"/>
      <c r="AM78" s="77"/>
      <c r="AN78" s="77"/>
      <c r="AO78" s="78"/>
      <c r="AP78" s="29"/>
      <c r="AQ78" s="78"/>
      <c r="AR78" s="29"/>
      <c r="AS78" s="77"/>
      <c r="AT78" s="77"/>
      <c r="AU78" s="77"/>
      <c r="AV78" s="77"/>
      <c r="AW78" s="78"/>
      <c r="AX78" s="29"/>
      <c r="AY78" s="77"/>
      <c r="AZ78" s="77"/>
      <c r="BA78" s="77"/>
      <c r="BB78" s="77"/>
      <c r="BC78" s="78"/>
      <c r="BD78" s="29"/>
      <c r="BE78" s="77"/>
      <c r="BF78" s="77"/>
      <c r="BG78" s="78"/>
    </row>
    <row r="79" spans="1:59" x14ac:dyDescent="0.2">
      <c r="A79" s="14" t="s">
        <v>103</v>
      </c>
      <c r="B79" s="36">
        <f t="shared" si="198"/>
        <v>133451.54645019188</v>
      </c>
      <c r="C79" s="94"/>
      <c r="D79" s="85"/>
      <c r="E79" s="85"/>
      <c r="F79" s="95"/>
      <c r="G79" s="277"/>
      <c r="H79" s="94"/>
      <c r="I79" s="85"/>
      <c r="J79" s="85"/>
      <c r="K79" s="85"/>
      <c r="L79" s="85"/>
      <c r="M79" s="95"/>
      <c r="N79" s="94"/>
      <c r="O79" s="85"/>
      <c r="P79" s="85"/>
      <c r="Q79" s="85">
        <f>'[15]Page 4.11'!$I$16</f>
        <v>-125695.50214021644</v>
      </c>
      <c r="R79" s="85"/>
      <c r="S79" s="95"/>
      <c r="T79" s="94"/>
      <c r="U79" s="85"/>
      <c r="V79" s="85">
        <f>'[7]Page 5.3'!$I$12</f>
        <v>259147.04859040832</v>
      </c>
      <c r="W79" s="85"/>
      <c r="X79" s="95"/>
      <c r="Y79" s="277"/>
      <c r="Z79" s="94"/>
      <c r="AA79" s="85"/>
      <c r="AB79" s="85"/>
      <c r="AC79" s="95"/>
      <c r="AD79" s="94"/>
      <c r="AE79" s="95"/>
      <c r="AF79" s="94"/>
      <c r="AG79" s="85"/>
      <c r="AH79" s="85"/>
      <c r="AI79" s="85"/>
      <c r="AJ79" s="85"/>
      <c r="AK79" s="95"/>
      <c r="AL79" s="94"/>
      <c r="AM79" s="85"/>
      <c r="AN79" s="85"/>
      <c r="AO79" s="95"/>
      <c r="AP79" s="94"/>
      <c r="AQ79" s="95"/>
      <c r="AR79" s="94"/>
      <c r="AS79" s="85"/>
      <c r="AT79" s="85"/>
      <c r="AU79" s="85"/>
      <c r="AV79" s="85"/>
      <c r="AW79" s="95"/>
      <c r="AX79" s="94"/>
      <c r="AY79" s="85"/>
      <c r="AZ79" s="85"/>
      <c r="BA79" s="85"/>
      <c r="BB79" s="85"/>
      <c r="BC79" s="95"/>
      <c r="BD79" s="94"/>
      <c r="BE79" s="85"/>
      <c r="BF79" s="85"/>
      <c r="BG79" s="95"/>
    </row>
    <row r="80" spans="1:59" x14ac:dyDescent="0.2">
      <c r="A80" s="14" t="s">
        <v>104</v>
      </c>
      <c r="B80" s="271">
        <f>SUM(C80:BG80)</f>
        <v>32728069.466209844</v>
      </c>
      <c r="C80" s="161">
        <f t="shared" ref="C80:AZ80" si="217">C74-C76-C77+C78-C79</f>
        <v>-6463994.9400000004</v>
      </c>
      <c r="D80" s="13">
        <f t="shared" si="217"/>
        <v>29321396.810773376</v>
      </c>
      <c r="E80" s="13">
        <f t="shared" ref="E80" si="218">E74-E76-E77+E78-E79</f>
        <v>-105882.16327527266</v>
      </c>
      <c r="F80" s="162">
        <f t="shared" si="217"/>
        <v>0</v>
      </c>
      <c r="G80" s="278">
        <f t="shared" si="217"/>
        <v>211020.52384552389</v>
      </c>
      <c r="H80" s="161">
        <f t="shared" si="217"/>
        <v>-177949.93579636046</v>
      </c>
      <c r="I80" s="13">
        <f t="shared" si="217"/>
        <v>0</v>
      </c>
      <c r="J80" s="13">
        <f t="shared" si="217"/>
        <v>658987.22551286849</v>
      </c>
      <c r="K80" s="13">
        <f t="shared" ref="K80:L80" si="219">K74-K76-K77+K78-K79</f>
        <v>13000.76973625276</v>
      </c>
      <c r="L80" s="13">
        <f t="shared" si="219"/>
        <v>-15875.448713248625</v>
      </c>
      <c r="M80" s="162">
        <f t="shared" si="217"/>
        <v>-62258.880074109882</v>
      </c>
      <c r="N80" s="161">
        <f t="shared" si="217"/>
        <v>-38937.904917300068</v>
      </c>
      <c r="O80" s="13">
        <f t="shared" ref="O80:Q80" si="220">O74-O76-O77+O78-O79</f>
        <v>0</v>
      </c>
      <c r="P80" s="13">
        <f t="shared" si="220"/>
        <v>-252203.73</v>
      </c>
      <c r="Q80" s="13">
        <f t="shared" si="220"/>
        <v>-446412.07116395386</v>
      </c>
      <c r="R80" s="13">
        <f>R74-R76-R77+R78-R79</f>
        <v>-101625.68393873476</v>
      </c>
      <c r="S80" s="162">
        <f t="shared" ref="S80:AB80" si="221">S74-S76-S77+S78-S79</f>
        <v>-34081.323836391755</v>
      </c>
      <c r="T80" s="161">
        <f t="shared" ref="T80:U80" si="222">T74-T76-T77+T78-T79</f>
        <v>5675631.15033664</v>
      </c>
      <c r="U80" s="13">
        <f t="shared" si="222"/>
        <v>0</v>
      </c>
      <c r="V80" s="13">
        <f t="shared" ref="V80:X80" si="223">V74-V76-V77+V78-V79</f>
        <v>259185.82373559949</v>
      </c>
      <c r="W80" s="13">
        <f t="shared" si="223"/>
        <v>0</v>
      </c>
      <c r="X80" s="162">
        <f t="shared" si="223"/>
        <v>0</v>
      </c>
      <c r="Y80" s="278">
        <f t="shared" ref="Y80:Z80" si="224">Y74-Y76-Y77+Y78-Y79</f>
        <v>0</v>
      </c>
      <c r="Z80" s="161">
        <f t="shared" si="224"/>
        <v>0</v>
      </c>
      <c r="AA80" s="13">
        <f t="shared" ref="AA80" si="225">AA74-AA76-AA77+AA78-AA79</f>
        <v>0</v>
      </c>
      <c r="AB80" s="13">
        <f t="shared" si="221"/>
        <v>0</v>
      </c>
      <c r="AC80" s="162">
        <f t="shared" ref="AC80" si="226">AC74-AC76-AC77+AC78-AC79</f>
        <v>0</v>
      </c>
      <c r="AD80" s="161">
        <f t="shared" si="217"/>
        <v>4093492.6031585857</v>
      </c>
      <c r="AE80" s="162">
        <f t="shared" ref="AE80" si="227">AE74-AE76-AE77+AE78-AE79</f>
        <v>0</v>
      </c>
      <c r="AF80" s="161">
        <f t="shared" si="217"/>
        <v>0</v>
      </c>
      <c r="AG80" s="13">
        <f t="shared" ref="AG80" si="228">AG74-AG76-AG77+AG78-AG79</f>
        <v>0</v>
      </c>
      <c r="AH80" s="13">
        <f t="shared" si="217"/>
        <v>0</v>
      </c>
      <c r="AI80" s="13">
        <f t="shared" si="217"/>
        <v>0</v>
      </c>
      <c r="AJ80" s="13">
        <f t="shared" ref="AJ80" si="229">AJ74-AJ76-AJ77+AJ78-AJ79</f>
        <v>250376</v>
      </c>
      <c r="AK80" s="162">
        <f t="shared" ref="AK80" si="230">AK74-AK76-AK77+AK78-AK79</f>
        <v>4620.2408263712532</v>
      </c>
      <c r="AL80" s="161">
        <f t="shared" ref="AL80:AO80" si="231">AL74-AL76-AL77+AL78-AL79</f>
        <v>0</v>
      </c>
      <c r="AM80" s="13">
        <f t="shared" si="231"/>
        <v>0</v>
      </c>
      <c r="AN80" s="13">
        <f t="shared" si="231"/>
        <v>0</v>
      </c>
      <c r="AO80" s="162">
        <f t="shared" si="231"/>
        <v>0</v>
      </c>
      <c r="AP80" s="161">
        <f t="shared" si="217"/>
        <v>0</v>
      </c>
      <c r="AQ80" s="162">
        <f t="shared" si="217"/>
        <v>0</v>
      </c>
      <c r="AR80" s="161">
        <f t="shared" si="217"/>
        <v>0</v>
      </c>
      <c r="AS80" s="13">
        <f t="shared" si="217"/>
        <v>0</v>
      </c>
      <c r="AT80" s="13">
        <f t="shared" ref="AT80" si="232">AT74-AT76-AT77+AT78-AT79</f>
        <v>0</v>
      </c>
      <c r="AU80" s="13">
        <f t="shared" ref="AU80" si="233">AU74-AU76-AU77+AU78-AU79</f>
        <v>0</v>
      </c>
      <c r="AV80" s="13">
        <f t="shared" si="217"/>
        <v>-60419.600000000006</v>
      </c>
      <c r="AW80" s="162">
        <f t="shared" si="217"/>
        <v>0</v>
      </c>
      <c r="AX80" s="161">
        <f t="shared" si="217"/>
        <v>0</v>
      </c>
      <c r="AY80" s="13">
        <f t="shared" ref="AY80" si="234">AY74-AY76-AY77+AY78-AY79</f>
        <v>0</v>
      </c>
      <c r="AZ80" s="13">
        <f t="shared" si="217"/>
        <v>0</v>
      </c>
      <c r="BA80" s="13">
        <f t="shared" ref="BA80:BB80" si="235">BA74-BA76-BA77+BA78-BA79</f>
        <v>0</v>
      </c>
      <c r="BB80" s="13">
        <f t="shared" si="235"/>
        <v>0</v>
      </c>
      <c r="BC80" s="162">
        <f t="shared" ref="BC80" si="236">BC74-BC76-BC77+BC78-BC79</f>
        <v>0</v>
      </c>
      <c r="BD80" s="161">
        <f t="shared" ref="BD80:BG80" si="237">BD74-BD76-BD77+BD78-BD79</f>
        <v>0</v>
      </c>
      <c r="BE80" s="13">
        <f t="shared" si="237"/>
        <v>0</v>
      </c>
      <c r="BF80" s="13">
        <f t="shared" si="237"/>
        <v>0</v>
      </c>
      <c r="BG80" s="162">
        <f t="shared" si="237"/>
        <v>0</v>
      </c>
    </row>
    <row r="81" spans="1:59" x14ac:dyDescent="0.2">
      <c r="A81" s="14"/>
      <c r="B81" s="28"/>
      <c r="C81" s="28"/>
      <c r="D81" s="12"/>
      <c r="E81" s="12"/>
      <c r="F81" s="75"/>
      <c r="G81" s="76"/>
      <c r="H81" s="28"/>
      <c r="I81" s="12"/>
      <c r="J81" s="12"/>
      <c r="K81" s="12"/>
      <c r="L81" s="12"/>
      <c r="M81" s="75"/>
      <c r="N81" s="28"/>
      <c r="O81" s="12"/>
      <c r="P81" s="12"/>
      <c r="Q81" s="12"/>
      <c r="R81" s="12"/>
      <c r="S81" s="75"/>
      <c r="T81" s="28"/>
      <c r="U81" s="12"/>
      <c r="V81" s="12"/>
      <c r="W81" s="12"/>
      <c r="X81" s="75"/>
      <c r="Y81" s="76"/>
      <c r="Z81" s="28"/>
      <c r="AA81" s="12"/>
      <c r="AB81" s="12"/>
      <c r="AC81" s="75"/>
      <c r="AD81" s="28"/>
      <c r="AE81" s="75"/>
      <c r="AF81" s="28"/>
      <c r="AG81" s="12"/>
      <c r="AH81" s="12"/>
      <c r="AI81" s="12"/>
      <c r="AJ81" s="12"/>
      <c r="AK81" s="75"/>
      <c r="AL81" s="28"/>
      <c r="AM81" s="12"/>
      <c r="AN81" s="12"/>
      <c r="AO81" s="75"/>
      <c r="AP81" s="28"/>
      <c r="AQ81" s="75"/>
      <c r="AR81" s="28"/>
      <c r="AS81" s="12"/>
      <c r="AT81" s="12"/>
      <c r="AU81" s="12"/>
      <c r="AV81" s="12"/>
      <c r="AW81" s="75"/>
      <c r="AX81" s="28"/>
      <c r="AY81" s="12"/>
      <c r="AZ81" s="12"/>
      <c r="BA81" s="12"/>
      <c r="BB81" s="12"/>
      <c r="BC81" s="75"/>
      <c r="BD81" s="28"/>
      <c r="BE81" s="12"/>
      <c r="BF81" s="12"/>
      <c r="BG81" s="75"/>
    </row>
    <row r="82" spans="1:59" x14ac:dyDescent="0.2">
      <c r="A82" s="14" t="s">
        <v>105</v>
      </c>
      <c r="B82" s="37">
        <f t="shared" ref="B82:B83" si="238">SUM(C82:BG82)</f>
        <v>0</v>
      </c>
      <c r="C82" s="28">
        <v>0</v>
      </c>
      <c r="D82" s="12">
        <v>0</v>
      </c>
      <c r="E82" s="12">
        <v>0</v>
      </c>
      <c r="F82" s="75">
        <v>0</v>
      </c>
      <c r="G82" s="76">
        <v>0</v>
      </c>
      <c r="H82" s="28">
        <v>0</v>
      </c>
      <c r="I82" s="12">
        <v>0</v>
      </c>
      <c r="J82" s="12">
        <v>0</v>
      </c>
      <c r="K82" s="12">
        <v>0</v>
      </c>
      <c r="L82" s="12">
        <v>0</v>
      </c>
      <c r="M82" s="75">
        <v>0</v>
      </c>
      <c r="N82" s="28">
        <v>0</v>
      </c>
      <c r="O82" s="12">
        <v>0</v>
      </c>
      <c r="P82" s="12">
        <v>0</v>
      </c>
      <c r="Q82" s="12">
        <v>0</v>
      </c>
      <c r="R82" s="12">
        <v>0</v>
      </c>
      <c r="S82" s="75">
        <v>0</v>
      </c>
      <c r="T82" s="28">
        <v>0</v>
      </c>
      <c r="U82" s="12">
        <v>0</v>
      </c>
      <c r="V82" s="12">
        <v>0</v>
      </c>
      <c r="W82" s="12">
        <v>0</v>
      </c>
      <c r="X82" s="75">
        <v>0</v>
      </c>
      <c r="Y82" s="76">
        <v>0</v>
      </c>
      <c r="Z82" s="28">
        <v>0</v>
      </c>
      <c r="AA82" s="12">
        <v>0</v>
      </c>
      <c r="AB82" s="12">
        <v>0</v>
      </c>
      <c r="AC82" s="75">
        <v>0</v>
      </c>
      <c r="AD82" s="28">
        <v>0</v>
      </c>
      <c r="AE82" s="75">
        <v>0</v>
      </c>
      <c r="AF82" s="28">
        <v>0</v>
      </c>
      <c r="AG82" s="12">
        <v>0</v>
      </c>
      <c r="AH82" s="12">
        <v>0</v>
      </c>
      <c r="AI82" s="12">
        <v>0</v>
      </c>
      <c r="AJ82" s="12">
        <v>0</v>
      </c>
      <c r="AK82" s="75">
        <v>0</v>
      </c>
      <c r="AL82" s="28">
        <v>0</v>
      </c>
      <c r="AM82" s="12">
        <v>0</v>
      </c>
      <c r="AN82" s="12">
        <v>0</v>
      </c>
      <c r="AO82" s="75">
        <v>0</v>
      </c>
      <c r="AP82" s="28">
        <v>0</v>
      </c>
      <c r="AQ82" s="75">
        <v>0</v>
      </c>
      <c r="AR82" s="28">
        <v>0</v>
      </c>
      <c r="AS82" s="12">
        <v>0</v>
      </c>
      <c r="AT82" s="12">
        <v>0</v>
      </c>
      <c r="AU82" s="12">
        <v>0</v>
      </c>
      <c r="AV82" s="12">
        <v>0</v>
      </c>
      <c r="AW82" s="75">
        <v>0</v>
      </c>
      <c r="AX82" s="28">
        <v>0</v>
      </c>
      <c r="AY82" s="12">
        <v>0</v>
      </c>
      <c r="AZ82" s="12">
        <v>0</v>
      </c>
      <c r="BA82" s="12">
        <v>0</v>
      </c>
      <c r="BB82" s="12">
        <v>0</v>
      </c>
      <c r="BC82" s="75">
        <v>0</v>
      </c>
      <c r="BD82" s="28">
        <v>0</v>
      </c>
      <c r="BE82" s="12">
        <v>0</v>
      </c>
      <c r="BF82" s="12">
        <v>0</v>
      </c>
      <c r="BG82" s="75">
        <v>0</v>
      </c>
    </row>
    <row r="83" spans="1:59" x14ac:dyDescent="0.2">
      <c r="A83" s="14" t="s">
        <v>106</v>
      </c>
      <c r="B83" s="37">
        <f t="shared" si="238"/>
        <v>32728069.466209844</v>
      </c>
      <c r="C83" s="28">
        <f>C80-C82</f>
        <v>-6463994.9400000004</v>
      </c>
      <c r="D83" s="12">
        <f t="shared" ref="D83:AZ83" si="239">D80-D82</f>
        <v>29321396.810773376</v>
      </c>
      <c r="E83" s="12">
        <f t="shared" ref="E83" si="240">E80-E82</f>
        <v>-105882.16327527266</v>
      </c>
      <c r="F83" s="75">
        <f t="shared" si="239"/>
        <v>0</v>
      </c>
      <c r="G83" s="76">
        <f t="shared" si="239"/>
        <v>211020.52384552389</v>
      </c>
      <c r="H83" s="28">
        <f t="shared" si="239"/>
        <v>-177949.93579636046</v>
      </c>
      <c r="I83" s="12">
        <f t="shared" si="239"/>
        <v>0</v>
      </c>
      <c r="J83" s="12">
        <f t="shared" si="239"/>
        <v>658987.22551286849</v>
      </c>
      <c r="K83" s="12">
        <f t="shared" ref="K83:L83" si="241">K80-K82</f>
        <v>13000.76973625276</v>
      </c>
      <c r="L83" s="12">
        <f t="shared" si="241"/>
        <v>-15875.448713248625</v>
      </c>
      <c r="M83" s="75">
        <f t="shared" si="239"/>
        <v>-62258.880074109882</v>
      </c>
      <c r="N83" s="28">
        <f t="shared" si="239"/>
        <v>-38937.904917300068</v>
      </c>
      <c r="O83" s="12">
        <f t="shared" si="239"/>
        <v>0</v>
      </c>
      <c r="P83" s="12">
        <f t="shared" ref="P83:R83" si="242">P80-P82</f>
        <v>-252203.73</v>
      </c>
      <c r="Q83" s="12">
        <f t="shared" si="242"/>
        <v>-446412.07116395386</v>
      </c>
      <c r="R83" s="12">
        <f t="shared" si="242"/>
        <v>-101625.68393873476</v>
      </c>
      <c r="S83" s="75">
        <f t="shared" si="239"/>
        <v>-34081.323836391755</v>
      </c>
      <c r="T83" s="28">
        <f t="shared" ref="T83:U83" si="243">T80-T82</f>
        <v>5675631.15033664</v>
      </c>
      <c r="U83" s="12">
        <f t="shared" si="243"/>
        <v>0</v>
      </c>
      <c r="V83" s="12">
        <f t="shared" ref="V83:X83" si="244">V80-V82</f>
        <v>259185.82373559949</v>
      </c>
      <c r="W83" s="12">
        <f t="shared" si="244"/>
        <v>0</v>
      </c>
      <c r="X83" s="75">
        <f t="shared" si="244"/>
        <v>0</v>
      </c>
      <c r="Y83" s="76">
        <f t="shared" ref="Y83:AB83" si="245">Y80-Y82</f>
        <v>0</v>
      </c>
      <c r="Z83" s="28">
        <f t="shared" ref="Z83:AA83" si="246">Z80-Z82</f>
        <v>0</v>
      </c>
      <c r="AA83" s="12">
        <f t="shared" si="246"/>
        <v>0</v>
      </c>
      <c r="AB83" s="12">
        <f t="shared" si="245"/>
        <v>0</v>
      </c>
      <c r="AC83" s="75">
        <f t="shared" ref="AC83" si="247">AC80-AC82</f>
        <v>0</v>
      </c>
      <c r="AD83" s="28">
        <f t="shared" si="239"/>
        <v>4093492.6031585857</v>
      </c>
      <c r="AE83" s="75">
        <f t="shared" ref="AE83" si="248">AE80-AE82</f>
        <v>0</v>
      </c>
      <c r="AF83" s="28">
        <f t="shared" si="239"/>
        <v>0</v>
      </c>
      <c r="AG83" s="12">
        <f t="shared" ref="AG83" si="249">AG80-AG82</f>
        <v>0</v>
      </c>
      <c r="AH83" s="12">
        <f t="shared" si="239"/>
        <v>0</v>
      </c>
      <c r="AI83" s="12">
        <f t="shared" si="239"/>
        <v>0</v>
      </c>
      <c r="AJ83" s="12">
        <f t="shared" si="239"/>
        <v>250376</v>
      </c>
      <c r="AK83" s="75">
        <f t="shared" ref="AK83" si="250">AK80-AK82</f>
        <v>4620.2408263712532</v>
      </c>
      <c r="AL83" s="28">
        <f t="shared" ref="AL83:AO83" si="251">AL80-AL82</f>
        <v>0</v>
      </c>
      <c r="AM83" s="12">
        <f t="shared" si="251"/>
        <v>0</v>
      </c>
      <c r="AN83" s="12">
        <f t="shared" si="251"/>
        <v>0</v>
      </c>
      <c r="AO83" s="75">
        <f t="shared" si="251"/>
        <v>0</v>
      </c>
      <c r="AP83" s="28">
        <f t="shared" si="239"/>
        <v>0</v>
      </c>
      <c r="AQ83" s="75">
        <f t="shared" si="239"/>
        <v>0</v>
      </c>
      <c r="AR83" s="28">
        <f t="shared" si="239"/>
        <v>0</v>
      </c>
      <c r="AS83" s="12">
        <f t="shared" si="239"/>
        <v>0</v>
      </c>
      <c r="AT83" s="12">
        <f t="shared" ref="AT83" si="252">AT80-AT82</f>
        <v>0</v>
      </c>
      <c r="AU83" s="12">
        <f t="shared" si="239"/>
        <v>0</v>
      </c>
      <c r="AV83" s="12">
        <f t="shared" si="239"/>
        <v>-60419.600000000006</v>
      </c>
      <c r="AW83" s="75">
        <f t="shared" si="239"/>
        <v>0</v>
      </c>
      <c r="AX83" s="28">
        <f t="shared" si="239"/>
        <v>0</v>
      </c>
      <c r="AY83" s="12">
        <f t="shared" ref="AY83" si="253">AY80-AY82</f>
        <v>0</v>
      </c>
      <c r="AZ83" s="12">
        <f t="shared" si="239"/>
        <v>0</v>
      </c>
      <c r="BA83" s="12">
        <f t="shared" ref="BA83:BB83" si="254">BA80-BA82</f>
        <v>0</v>
      </c>
      <c r="BB83" s="12">
        <f t="shared" si="254"/>
        <v>0</v>
      </c>
      <c r="BC83" s="75">
        <f t="shared" ref="BC83" si="255">BC80-BC82</f>
        <v>0</v>
      </c>
      <c r="BD83" s="28">
        <f t="shared" ref="BD83:BG83" si="256">BD80-BD82</f>
        <v>0</v>
      </c>
      <c r="BE83" s="12">
        <f t="shared" si="256"/>
        <v>0</v>
      </c>
      <c r="BF83" s="12">
        <f t="shared" si="256"/>
        <v>0</v>
      </c>
      <c r="BG83" s="75">
        <f t="shared" si="256"/>
        <v>0</v>
      </c>
    </row>
    <row r="84" spans="1:59" x14ac:dyDescent="0.2">
      <c r="A84" s="14"/>
      <c r="B84" s="37"/>
      <c r="C84" s="28"/>
      <c r="D84" s="12"/>
      <c r="E84" s="12"/>
      <c r="F84" s="75"/>
      <c r="G84" s="76"/>
      <c r="H84" s="28"/>
      <c r="I84" s="12"/>
      <c r="J84" s="12"/>
      <c r="K84" s="12"/>
      <c r="L84" s="12"/>
      <c r="M84" s="75"/>
      <c r="N84" s="28"/>
      <c r="O84" s="12"/>
      <c r="P84" s="12"/>
      <c r="Q84" s="12"/>
      <c r="R84" s="12"/>
      <c r="S84" s="75"/>
      <c r="T84" s="28"/>
      <c r="U84" s="12"/>
      <c r="V84" s="12"/>
      <c r="W84" s="12"/>
      <c r="X84" s="75"/>
      <c r="Y84" s="76"/>
      <c r="Z84" s="28"/>
      <c r="AA84" s="12"/>
      <c r="AB84" s="12"/>
      <c r="AC84" s="75"/>
      <c r="AD84" s="28"/>
      <c r="AE84" s="75"/>
      <c r="AF84" s="28"/>
      <c r="AG84" s="12"/>
      <c r="AH84" s="12"/>
      <c r="AI84" s="12"/>
      <c r="AJ84" s="12"/>
      <c r="AK84" s="75"/>
      <c r="AL84" s="28"/>
      <c r="AM84" s="12"/>
      <c r="AN84" s="12"/>
      <c r="AO84" s="75"/>
      <c r="AP84" s="28"/>
      <c r="AQ84" s="75"/>
      <c r="AR84" s="28"/>
      <c r="AS84" s="12"/>
      <c r="AT84" s="12"/>
      <c r="AU84" s="12"/>
      <c r="AV84" s="12"/>
      <c r="AW84" s="75"/>
      <c r="AX84" s="28"/>
      <c r="AY84" s="12"/>
      <c r="AZ84" s="12"/>
      <c r="BA84" s="12"/>
      <c r="BB84" s="12"/>
      <c r="BC84" s="75"/>
      <c r="BD84" s="28"/>
      <c r="BE84" s="12"/>
      <c r="BF84" s="12"/>
      <c r="BG84" s="75"/>
    </row>
    <row r="85" spans="1:59" x14ac:dyDescent="0.2">
      <c r="A85" s="14" t="s">
        <v>131</v>
      </c>
      <c r="B85" s="37">
        <f>SUM(C85:BG85)</f>
        <v>6872894.5879040677</v>
      </c>
      <c r="C85" s="28">
        <f>C83*0.21</f>
        <v>-1357438.9373999999</v>
      </c>
      <c r="D85" s="12">
        <f t="shared" ref="D85:BB85" si="257">D83*0.21</f>
        <v>6157493.3302624086</v>
      </c>
      <c r="E85" s="12">
        <f t="shared" si="257"/>
        <v>-22235.254287807256</v>
      </c>
      <c r="F85" s="75">
        <f t="shared" si="257"/>
        <v>0</v>
      </c>
      <c r="G85" s="76">
        <f t="shared" si="257"/>
        <v>44314.310007560016</v>
      </c>
      <c r="H85" s="28">
        <f t="shared" si="257"/>
        <v>-37369.486517235695</v>
      </c>
      <c r="I85" s="12">
        <f t="shared" si="257"/>
        <v>0</v>
      </c>
      <c r="J85" s="12">
        <f t="shared" si="257"/>
        <v>138387.31735770238</v>
      </c>
      <c r="K85" s="12">
        <f t="shared" si="257"/>
        <v>2730.1616446130793</v>
      </c>
      <c r="L85" s="12">
        <f t="shared" si="257"/>
        <v>-3333.8442297822112</v>
      </c>
      <c r="M85" s="75">
        <f t="shared" si="257"/>
        <v>-13074.364815563074</v>
      </c>
      <c r="N85" s="28">
        <f t="shared" si="257"/>
        <v>-8176.9600326330137</v>
      </c>
      <c r="O85" s="12">
        <f t="shared" si="257"/>
        <v>0</v>
      </c>
      <c r="P85" s="12">
        <f t="shared" si="257"/>
        <v>-52962.783300000003</v>
      </c>
      <c r="Q85" s="12">
        <f t="shared" si="257"/>
        <v>-93746.534944430314</v>
      </c>
      <c r="R85" s="12">
        <f t="shared" si="257"/>
        <v>-21341.393627134297</v>
      </c>
      <c r="S85" s="75">
        <f t="shared" si="257"/>
        <v>-7157.0780056422682</v>
      </c>
      <c r="T85" s="28">
        <f t="shared" ref="T85:U85" si="258">T83*0.21</f>
        <v>1191882.5415706944</v>
      </c>
      <c r="U85" s="12">
        <f t="shared" si="258"/>
        <v>0</v>
      </c>
      <c r="V85" s="12">
        <f t="shared" si="257"/>
        <v>54429.022984475894</v>
      </c>
      <c r="W85" s="12">
        <f t="shared" ref="W85:X85" si="259">W83*0.21</f>
        <v>0</v>
      </c>
      <c r="X85" s="75">
        <f t="shared" si="259"/>
        <v>0</v>
      </c>
      <c r="Y85" s="76">
        <f t="shared" si="257"/>
        <v>0</v>
      </c>
      <c r="Z85" s="28">
        <f t="shared" si="257"/>
        <v>0</v>
      </c>
      <c r="AA85" s="12">
        <f t="shared" si="257"/>
        <v>0</v>
      </c>
      <c r="AB85" s="12">
        <f t="shared" si="257"/>
        <v>0</v>
      </c>
      <c r="AC85" s="75">
        <f t="shared" ref="AC85" si="260">AC83*0.21</f>
        <v>0</v>
      </c>
      <c r="AD85" s="28">
        <f t="shared" si="257"/>
        <v>859633.44666330295</v>
      </c>
      <c r="AE85" s="75">
        <f t="shared" si="257"/>
        <v>0</v>
      </c>
      <c r="AF85" s="28">
        <f t="shared" si="257"/>
        <v>0</v>
      </c>
      <c r="AG85" s="12">
        <f t="shared" si="257"/>
        <v>0</v>
      </c>
      <c r="AH85" s="12">
        <f t="shared" si="257"/>
        <v>0</v>
      </c>
      <c r="AI85" s="12">
        <f t="shared" si="257"/>
        <v>0</v>
      </c>
      <c r="AJ85" s="12">
        <f t="shared" si="257"/>
        <v>52578.96</v>
      </c>
      <c r="AK85" s="75">
        <f t="shared" si="257"/>
        <v>970.25057353796319</v>
      </c>
      <c r="AL85" s="28">
        <f t="shared" si="257"/>
        <v>0</v>
      </c>
      <c r="AM85" s="12">
        <f t="shared" ref="AM85:AO85" si="261">AM83*0.21</f>
        <v>0</v>
      </c>
      <c r="AN85" s="12">
        <f t="shared" si="261"/>
        <v>0</v>
      </c>
      <c r="AO85" s="75">
        <f t="shared" si="261"/>
        <v>0</v>
      </c>
      <c r="AP85" s="28">
        <f t="shared" si="257"/>
        <v>0</v>
      </c>
      <c r="AQ85" s="75">
        <f t="shared" si="257"/>
        <v>0</v>
      </c>
      <c r="AR85" s="28">
        <f t="shared" si="257"/>
        <v>0</v>
      </c>
      <c r="AS85" s="12">
        <f t="shared" si="257"/>
        <v>0</v>
      </c>
      <c r="AT85" s="12">
        <f t="shared" si="257"/>
        <v>0</v>
      </c>
      <c r="AU85" s="12">
        <f t="shared" si="257"/>
        <v>0</v>
      </c>
      <c r="AV85" s="12">
        <f t="shared" si="257"/>
        <v>-12688.116</v>
      </c>
      <c r="AW85" s="75">
        <f t="shared" si="257"/>
        <v>0</v>
      </c>
      <c r="AX85" s="28">
        <f t="shared" si="257"/>
        <v>0</v>
      </c>
      <c r="AY85" s="12">
        <f t="shared" si="257"/>
        <v>0</v>
      </c>
      <c r="AZ85" s="12">
        <f t="shared" si="257"/>
        <v>0</v>
      </c>
      <c r="BA85" s="12">
        <f t="shared" si="257"/>
        <v>0</v>
      </c>
      <c r="BB85" s="12">
        <f t="shared" si="257"/>
        <v>0</v>
      </c>
      <c r="BC85" s="75">
        <f t="shared" ref="BC85" si="262">BC83*0.21</f>
        <v>0</v>
      </c>
      <c r="BD85" s="28">
        <f t="shared" ref="BD85:BG85" si="263">BD83*0.21</f>
        <v>0</v>
      </c>
      <c r="BE85" s="12">
        <f t="shared" si="263"/>
        <v>0</v>
      </c>
      <c r="BF85" s="12">
        <f t="shared" si="263"/>
        <v>0</v>
      </c>
      <c r="BG85" s="75">
        <f t="shared" si="263"/>
        <v>0</v>
      </c>
    </row>
    <row r="86" spans="1:59" x14ac:dyDescent="0.2">
      <c r="A86" s="14" t="s">
        <v>132</v>
      </c>
      <c r="B86" s="37">
        <f>SUM(C86:BG86)</f>
        <v>0</v>
      </c>
      <c r="C86" s="28"/>
      <c r="D86" s="12"/>
      <c r="E86" s="12"/>
      <c r="F86" s="75"/>
      <c r="G86" s="76"/>
      <c r="H86" s="28"/>
      <c r="I86" s="12"/>
      <c r="J86" s="12"/>
      <c r="K86" s="12"/>
      <c r="L86" s="12"/>
      <c r="M86" s="75"/>
      <c r="N86" s="28"/>
      <c r="O86" s="12"/>
      <c r="P86" s="12"/>
      <c r="Q86" s="12"/>
      <c r="R86" s="12"/>
      <c r="S86" s="75"/>
      <c r="T86" s="28"/>
      <c r="U86" s="12"/>
      <c r="V86" s="12"/>
      <c r="W86" s="12"/>
      <c r="X86" s="75"/>
      <c r="Y86" s="76"/>
      <c r="Z86" s="28"/>
      <c r="AA86" s="12"/>
      <c r="AB86" s="12"/>
      <c r="AC86" s="75"/>
      <c r="AD86" s="28"/>
      <c r="AE86" s="75"/>
      <c r="AF86" s="28"/>
      <c r="AG86" s="12"/>
      <c r="AH86" s="12"/>
      <c r="AI86" s="12"/>
      <c r="AJ86" s="12"/>
      <c r="AK86" s="75"/>
      <c r="AL86" s="28"/>
      <c r="AM86" s="12"/>
      <c r="AN86" s="12"/>
      <c r="AO86" s="75"/>
      <c r="AP86" s="28"/>
      <c r="AQ86" s="75"/>
      <c r="AR86" s="28"/>
      <c r="AS86" s="12"/>
      <c r="AT86" s="12"/>
      <c r="AU86" s="12"/>
      <c r="AV86" s="12"/>
      <c r="AW86" s="75"/>
      <c r="AX86" s="28"/>
      <c r="AY86" s="12"/>
      <c r="AZ86" s="12"/>
      <c r="BA86" s="12"/>
      <c r="BB86" s="12"/>
      <c r="BC86" s="75"/>
      <c r="BD86" s="28"/>
      <c r="BE86" s="12"/>
      <c r="BF86" s="12"/>
      <c r="BG86" s="75"/>
    </row>
    <row r="87" spans="1:59" s="2" customFormat="1" ht="13.5" thickBot="1" x14ac:dyDescent="0.25">
      <c r="A87" s="14" t="s">
        <v>133</v>
      </c>
      <c r="B87" s="272">
        <f>SUM(C87:BG87)</f>
        <v>6872894.5879040677</v>
      </c>
      <c r="C87" s="98">
        <f>C85+C86</f>
        <v>-1357438.9373999999</v>
      </c>
      <c r="D87" s="96">
        <f t="shared" ref="D87:AZ87" si="264">D85+D86</f>
        <v>6157493.3302624086</v>
      </c>
      <c r="E87" s="96">
        <f t="shared" ref="E87" si="265">E85+E86</f>
        <v>-22235.254287807256</v>
      </c>
      <c r="F87" s="97">
        <f t="shared" si="264"/>
        <v>0</v>
      </c>
      <c r="G87" s="279">
        <f t="shared" si="264"/>
        <v>44314.310007560016</v>
      </c>
      <c r="H87" s="98">
        <f t="shared" si="264"/>
        <v>-37369.486517235695</v>
      </c>
      <c r="I87" s="96">
        <f t="shared" si="264"/>
        <v>0</v>
      </c>
      <c r="J87" s="96">
        <f t="shared" si="264"/>
        <v>138387.31735770238</v>
      </c>
      <c r="K87" s="96">
        <f t="shared" ref="K87:L87" si="266">K85+K86</f>
        <v>2730.1616446130793</v>
      </c>
      <c r="L87" s="96">
        <f t="shared" si="266"/>
        <v>-3333.8442297822112</v>
      </c>
      <c r="M87" s="97">
        <f t="shared" si="264"/>
        <v>-13074.364815563074</v>
      </c>
      <c r="N87" s="98">
        <f t="shared" si="264"/>
        <v>-8176.9600326330137</v>
      </c>
      <c r="O87" s="96">
        <f t="shared" si="264"/>
        <v>0</v>
      </c>
      <c r="P87" s="96">
        <f t="shared" ref="P87:R87" si="267">P85+P86</f>
        <v>-52962.783300000003</v>
      </c>
      <c r="Q87" s="96">
        <f t="shared" si="267"/>
        <v>-93746.534944430314</v>
      </c>
      <c r="R87" s="96">
        <f t="shared" si="267"/>
        <v>-21341.393627134297</v>
      </c>
      <c r="S87" s="97">
        <f t="shared" si="264"/>
        <v>-7157.0780056422682</v>
      </c>
      <c r="T87" s="98">
        <f t="shared" ref="T87:U87" si="268">T85+T86</f>
        <v>1191882.5415706944</v>
      </c>
      <c r="U87" s="96">
        <f t="shared" si="268"/>
        <v>0</v>
      </c>
      <c r="V87" s="96">
        <f t="shared" ref="V87:X87" si="269">V85+V86</f>
        <v>54429.022984475894</v>
      </c>
      <c r="W87" s="96">
        <f t="shared" si="269"/>
        <v>0</v>
      </c>
      <c r="X87" s="97">
        <f t="shared" si="269"/>
        <v>0</v>
      </c>
      <c r="Y87" s="279">
        <f t="shared" ref="Y87:AB87" si="270">Y85+Y86</f>
        <v>0</v>
      </c>
      <c r="Z87" s="98">
        <f t="shared" ref="Z87:AA87" si="271">Z85+Z86</f>
        <v>0</v>
      </c>
      <c r="AA87" s="96">
        <f t="shared" si="271"/>
        <v>0</v>
      </c>
      <c r="AB87" s="96">
        <f t="shared" si="270"/>
        <v>0</v>
      </c>
      <c r="AC87" s="97">
        <f t="shared" ref="AC87" si="272">AC85+AC86</f>
        <v>0</v>
      </c>
      <c r="AD87" s="98">
        <f t="shared" si="264"/>
        <v>859633.44666330295</v>
      </c>
      <c r="AE87" s="97">
        <f t="shared" ref="AE87" si="273">AE85+AE86</f>
        <v>0</v>
      </c>
      <c r="AF87" s="98">
        <f t="shared" si="264"/>
        <v>0</v>
      </c>
      <c r="AG87" s="96">
        <f t="shared" ref="AG87" si="274">AG85+AG86</f>
        <v>0</v>
      </c>
      <c r="AH87" s="96">
        <f t="shared" si="264"/>
        <v>0</v>
      </c>
      <c r="AI87" s="96">
        <f t="shared" si="264"/>
        <v>0</v>
      </c>
      <c r="AJ87" s="96">
        <f t="shared" si="264"/>
        <v>52578.96</v>
      </c>
      <c r="AK87" s="97">
        <f t="shared" ref="AK87" si="275">AK85+AK86</f>
        <v>970.25057353796319</v>
      </c>
      <c r="AL87" s="98">
        <f t="shared" ref="AL87:AO87" si="276">AL85+AL86</f>
        <v>0</v>
      </c>
      <c r="AM87" s="96">
        <f t="shared" si="276"/>
        <v>0</v>
      </c>
      <c r="AN87" s="96">
        <f t="shared" si="276"/>
        <v>0</v>
      </c>
      <c r="AO87" s="97">
        <f t="shared" si="276"/>
        <v>0</v>
      </c>
      <c r="AP87" s="98">
        <f t="shared" si="264"/>
        <v>0</v>
      </c>
      <c r="AQ87" s="97">
        <f t="shared" si="264"/>
        <v>0</v>
      </c>
      <c r="AR87" s="98">
        <f t="shared" si="264"/>
        <v>0</v>
      </c>
      <c r="AS87" s="96">
        <f t="shared" si="264"/>
        <v>0</v>
      </c>
      <c r="AT87" s="96">
        <f t="shared" ref="AT87" si="277">AT85+AT86</f>
        <v>0</v>
      </c>
      <c r="AU87" s="96">
        <f t="shared" si="264"/>
        <v>0</v>
      </c>
      <c r="AV87" s="96">
        <f t="shared" si="264"/>
        <v>-12688.116</v>
      </c>
      <c r="AW87" s="97">
        <f t="shared" si="264"/>
        <v>0</v>
      </c>
      <c r="AX87" s="98">
        <f t="shared" si="264"/>
        <v>0</v>
      </c>
      <c r="AY87" s="96">
        <f t="shared" ref="AY87" si="278">AY85+AY86</f>
        <v>0</v>
      </c>
      <c r="AZ87" s="96">
        <f t="shared" si="264"/>
        <v>0</v>
      </c>
      <c r="BA87" s="96">
        <f t="shared" ref="BA87:BB87" si="279">BA85+BA86</f>
        <v>0</v>
      </c>
      <c r="BB87" s="96">
        <f t="shared" si="279"/>
        <v>0</v>
      </c>
      <c r="BC87" s="97">
        <f t="shared" ref="BC87" si="280">BC85+BC86</f>
        <v>0</v>
      </c>
      <c r="BD87" s="98">
        <f t="shared" ref="BD87:BG87" si="281">BD85+BD86</f>
        <v>0</v>
      </c>
      <c r="BE87" s="96">
        <f t="shared" si="281"/>
        <v>0</v>
      </c>
      <c r="BF87" s="96">
        <f t="shared" si="281"/>
        <v>0</v>
      </c>
      <c r="BG87" s="97">
        <f t="shared" si="281"/>
        <v>0</v>
      </c>
    </row>
    <row r="88" spans="1:59" s="2" customFormat="1" x14ac:dyDescent="0.2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</row>
    <row r="89" spans="1:59" s="2" customForma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</row>
    <row r="90" spans="1:59" s="2" customFormat="1" x14ac:dyDescent="0.2">
      <c r="A90" s="159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</row>
    <row r="91" spans="1:59" s="2" customFormat="1" x14ac:dyDescent="0.2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</row>
    <row r="92" spans="1:59" s="2" customFormat="1" x14ac:dyDescent="0.2">
      <c r="A92" s="14"/>
    </row>
    <row r="93" spans="1:59" s="2" customFormat="1" x14ac:dyDescent="0.2">
      <c r="A93" s="160"/>
    </row>
  </sheetData>
  <mergeCells count="12">
    <mergeCell ref="AX7:BC7"/>
    <mergeCell ref="BD7:BG7"/>
    <mergeCell ref="AP7:AQ7"/>
    <mergeCell ref="AR7:AW7"/>
    <mergeCell ref="C7:F7"/>
    <mergeCell ref="H7:M7"/>
    <mergeCell ref="N7:S7"/>
    <mergeCell ref="T7:X7"/>
    <mergeCell ref="Z7:AC7"/>
    <mergeCell ref="AD7:AE7"/>
    <mergeCell ref="AF7:AK7"/>
    <mergeCell ref="AL7:AO7"/>
  </mergeCells>
  <phoneticPr fontId="3" type="noConversion"/>
  <pageMargins left="1" right="0.5" top="0.75" bottom="0.5" header="0.4" footer="0.5"/>
  <pageSetup scale="65" firstPageNumber="17" fitToWidth="0" orientation="portrait" useFirstPageNumber="1" r:id="rId1"/>
  <headerFooter alignWithMargins="0">
    <oddHeader xml:space="preserve">&amp;L&amp;12PacifiCorp
Washington General Rate Case - 2021
Summary of Restating Adjustments&amp;10
&amp;R&amp;12Page 1.&amp;P
&amp;10
</oddHeader>
  </headerFooter>
  <colBreaks count="7" manualBreakCount="7">
    <brk id="7" min="6" max="86" man="1"/>
    <brk id="13" min="6" max="86" man="1"/>
    <brk id="19" min="6" max="86" man="1"/>
    <brk id="25" min="6" max="86" man="1"/>
    <brk id="31" min="6" max="86" man="1"/>
    <brk id="37" min="6" max="86" man="1"/>
    <brk id="43" min="6" max="86" man="1"/>
  </colBreaks>
  <customProperties>
    <customPr name="_pios_id" r:id="rId2"/>
  </customProperties>
  <ignoredErrors>
    <ignoredError sqref="B12:B38 B40:B87 C12:D12 P12 E15 BC16 BC20 BC88:BC92 BC66:BC75 H19 V19 P19 BC27 H22:H24 J24 H25 M25:N25 H26 K26 BC29 H28 J28:L28 BC33:BC34 V32 AJ32 BC36 Q35 AN35 BC44 V43 AP43 BC60 AA58 V57 AA57 Q59 AG59 BC80:BC87 Q78:Q79 BC38:BC42 AV37 J22 N22 J23 T22:T23 N24 N28 Q28:S28 V28 V35 V59 V78:V79 AX59 BC64 AN63 AT63 AV62 AX43:AZ43 BC46:BC47 AP45 AT45 AX57 AZ57 BC52:BC56 AT48:AT50 AT51 AW51 AP57 AN59 AR61 BC77 AK76 BC76 BC61 BC58 BC51 BC63 BC48:BC50 BC45 BC57 BC59 BC43 BC62 BC37 BC35 BC32 BC26 BC23 BC22 BC25 BC24 BC31 BC30 BC78:BC79 BC28 BC19 H21 BC21 BC65 G22 G25:G26 G37 G30 G28" unlockedFormula="1"/>
    <ignoredError sqref="B39" formula="1" unlockedFormula="1"/>
    <ignoredError sqref="BD8:BG11 BD93:BG115 C96:BB115 C8:BB11 BC8 C88:F92 C93:F95 H93:BB95" numberStoredAsText="1"/>
    <ignoredError sqref="C65:D65 F65 E12:O12 C19:G19 C15:D15 C21:G21 C22:F22 C23:F24 C25:F26 C28:F28 C32:F32 C35:F35 C43:F43 C58:F58 C57:F57 C59:F59 C78:F79 C30:F30 C37:F37 C63:F63 C62:F62 C45:F45 C48:F51 C61:F61 C76:F76 BD12:BG18 C77:F77 C52:F56 C46:F47 C64:F64 C38:F42 C31:F31 C80:F87 C60:F60 C44:F44 C36:F36 C33:F34 C29:F29 C27:F27 F15:BB15 C16:BB18 C20:G20 Q12:BB12 C66:F75 C13:BB14 H88:BB92 BD88:BG92 H66:BB75 BA65:BB65 H20:BB20 H27:BB27 I21:BB21 H29:BB29 W19:BB19 W28:BB28 H33:BB34 H36:BB36 H44:BB44 H60:BB60 H80:BB87 W78:BB79 H31:BB31 H30:BB30 H38:BB42 O24:BB25 U22:BB23 L26:BB26 AK32:BB32 AO35:BB35 H64:BB64 AW37:BB37 AW62:BB62 H46:BB47 BA43:BB43 AY59:BB59 BA57:BB57 AU45:BB45 H52:BB56 AU48:BB50 AU63:BB63 AX51:BB51 AB58:BB58 AS61:BB61 H77:BB77 AL76:BB76 BD19:BG87 H76:AJ76 H61:AQ61 AH59:AM59 AB57:AO57 AU51:AV51 H48:AS51 AY57 AQ57:AW57 AQ45:AS45 H45:AO45 AQ43:AW43 H62:AU62 AO63:AS63 H63:AM63 AO59:AW59 R78:U79 R59:U59 R35:U35 T28:U28 O28:P28 O22:S22 M28 K24:M24 K23:S23 K22:M22 H37:AU37 H78:P79 W59:AF59 H59:P59 W57:Z57 H57:U57 H58:Z58 W43:AO43 H43:U43 W35:AM35 H35:P35 W32:AI32 H32:U32 I28 I26:J26 I25:L25 I22:I24 I19:O19 Q19:U19 AH65:AX65 H65:AC65 G88:G92 G93:G95 G66:G75 G27 G29 G33:G34 G36 G44 G60 G80:G87 G31 G38:G42 G64 G46:G47 G52:G56 G77 G76 G61 G48:G51 G45 G62 G63 G78:G79 G59 G57 G58 G43 G35 G32 G23:G24 G65" numberStoredAsText="1" unlockedFormula="1"/>
    <ignoredError sqref="E65 AY65:AZ65 AD65:AG65" numberStoredAsText="1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G93"/>
  <sheetViews>
    <sheetView view="pageBreakPreview" zoomScale="70" zoomScaleNormal="70" zoomScaleSheetLayoutView="70" workbookViewId="0">
      <selection activeCell="A3" sqref="A3"/>
    </sheetView>
  </sheetViews>
  <sheetFormatPr defaultRowHeight="12.75" x14ac:dyDescent="0.2"/>
  <cols>
    <col min="1" max="1" width="36" style="2" customWidth="1"/>
    <col min="2" max="2" width="23" style="15" bestFit="1" customWidth="1"/>
    <col min="3" max="3" width="17.28515625" style="15" bestFit="1" customWidth="1"/>
    <col min="4" max="4" width="15.7109375" style="2" customWidth="1"/>
    <col min="5" max="5" width="16.42578125" style="2" customWidth="1"/>
    <col min="6" max="6" width="15.140625" style="2" customWidth="1"/>
    <col min="7" max="7" width="16.140625" style="2" customWidth="1"/>
    <col min="8" max="9" width="17.28515625" style="2" bestFit="1" customWidth="1"/>
    <col min="10" max="10" width="16" style="2" customWidth="1"/>
    <col min="11" max="11" width="15.140625" style="2" customWidth="1"/>
    <col min="12" max="12" width="17.28515625" style="2" bestFit="1" customWidth="1"/>
    <col min="13" max="13" width="21" style="2" bestFit="1" customWidth="1"/>
    <col min="14" max="14" width="15.7109375" style="2" customWidth="1"/>
    <col min="15" max="15" width="17.28515625" style="2" bestFit="1" customWidth="1"/>
    <col min="16" max="16" width="15.140625" style="2" customWidth="1"/>
    <col min="17" max="17" width="16" style="2" bestFit="1" customWidth="1"/>
    <col min="18" max="19" width="17.28515625" style="2" bestFit="1" customWidth="1"/>
    <col min="20" max="20" width="13.85546875" style="2" customWidth="1"/>
    <col min="21" max="21" width="14.28515625" style="2" customWidth="1"/>
    <col min="22" max="22" width="14.42578125" style="2" customWidth="1"/>
    <col min="23" max="23" width="15.28515625" style="2" customWidth="1"/>
    <col min="24" max="24" width="15.140625" style="2" customWidth="1"/>
    <col min="25" max="25" width="16.5703125" style="2" customWidth="1"/>
    <col min="26" max="26" width="16.140625" style="2" customWidth="1"/>
    <col min="27" max="27" width="15.28515625" style="2" customWidth="1"/>
    <col min="28" max="28" width="17.28515625" style="2" bestFit="1" customWidth="1"/>
    <col min="29" max="30" width="16.140625" style="2" customWidth="1"/>
    <col min="31" max="38" width="17.28515625" style="2" bestFit="1" customWidth="1"/>
    <col min="39" max="41" width="17.28515625" style="2" customWidth="1"/>
    <col min="42" max="45" width="17.28515625" style="2" bestFit="1" customWidth="1"/>
    <col min="46" max="46" width="15.5703125" style="2" customWidth="1"/>
    <col min="47" max="59" width="17.28515625" style="2" bestFit="1" customWidth="1"/>
    <col min="60" max="16384" width="9.140625" style="15"/>
  </cols>
  <sheetData>
    <row r="1" spans="1:59" x14ac:dyDescent="0.2">
      <c r="A1" s="4" t="s">
        <v>42</v>
      </c>
    </row>
    <row r="2" spans="1:59" s="2" customFormat="1" x14ac:dyDescent="0.2">
      <c r="A2" s="146" t="str">
        <f>'Total Adj'!A2</f>
        <v>Washington General Rate Case - 2021</v>
      </c>
    </row>
    <row r="3" spans="1:59" s="2" customFormat="1" x14ac:dyDescent="0.2">
      <c r="A3" s="147" t="s">
        <v>228</v>
      </c>
    </row>
    <row r="4" spans="1:59" s="2" customFormat="1" x14ac:dyDescent="0.2">
      <c r="A4" s="148"/>
    </row>
    <row r="5" spans="1:59" s="2" customFormat="1" x14ac:dyDescent="0.2">
      <c r="A5" s="146"/>
    </row>
    <row r="6" spans="1:59" s="4" customFormat="1" ht="13.5" thickBot="1" x14ac:dyDescent="0.25">
      <c r="A6" s="148"/>
    </row>
    <row r="7" spans="1:59" s="149" customFormat="1" ht="13.5" thickBot="1" x14ac:dyDescent="0.25">
      <c r="A7" s="4"/>
      <c r="B7" s="267"/>
      <c r="C7" s="282" t="s">
        <v>35</v>
      </c>
      <c r="D7" s="283"/>
      <c r="E7" s="283"/>
      <c r="F7" s="284"/>
      <c r="G7" s="273" t="s">
        <v>317</v>
      </c>
      <c r="H7" s="282" t="s">
        <v>239</v>
      </c>
      <c r="I7" s="283"/>
      <c r="J7" s="283"/>
      <c r="K7" s="283"/>
      <c r="L7" s="283"/>
      <c r="M7" s="284"/>
      <c r="N7" s="282" t="s">
        <v>239</v>
      </c>
      <c r="O7" s="283"/>
      <c r="P7" s="283"/>
      <c r="Q7" s="283"/>
      <c r="R7" s="283"/>
      <c r="S7" s="284"/>
      <c r="T7" s="282" t="s">
        <v>254</v>
      </c>
      <c r="U7" s="283"/>
      <c r="V7" s="283"/>
      <c r="W7" s="283"/>
      <c r="X7" s="284"/>
      <c r="Y7" s="273" t="s">
        <v>318</v>
      </c>
      <c r="Z7" s="282" t="s">
        <v>232</v>
      </c>
      <c r="AA7" s="283"/>
      <c r="AB7" s="283"/>
      <c r="AC7" s="284"/>
      <c r="AD7" s="282" t="s">
        <v>36</v>
      </c>
      <c r="AE7" s="284"/>
      <c r="AF7" s="282" t="s">
        <v>36</v>
      </c>
      <c r="AG7" s="283"/>
      <c r="AH7" s="283"/>
      <c r="AI7" s="283"/>
      <c r="AJ7" s="283"/>
      <c r="AK7" s="284"/>
      <c r="AL7" s="282" t="s">
        <v>36</v>
      </c>
      <c r="AM7" s="283"/>
      <c r="AN7" s="283"/>
      <c r="AO7" s="284"/>
      <c r="AP7" s="282" t="s">
        <v>37</v>
      </c>
      <c r="AQ7" s="284"/>
      <c r="AR7" s="282" t="s">
        <v>37</v>
      </c>
      <c r="AS7" s="283"/>
      <c r="AT7" s="283"/>
      <c r="AU7" s="283"/>
      <c r="AV7" s="283"/>
      <c r="AW7" s="284"/>
      <c r="AX7" s="282" t="s">
        <v>37</v>
      </c>
      <c r="AY7" s="283"/>
      <c r="AZ7" s="283"/>
      <c r="BA7" s="283"/>
      <c r="BB7" s="283"/>
      <c r="BC7" s="284"/>
      <c r="BD7" s="282" t="s">
        <v>319</v>
      </c>
      <c r="BE7" s="283"/>
      <c r="BF7" s="283"/>
      <c r="BG7" s="284"/>
    </row>
    <row r="8" spans="1:59" x14ac:dyDescent="0.2">
      <c r="B8" s="74"/>
      <c r="C8" s="74" t="str">
        <f>'Restating Adj'!C8</f>
        <v>3.1</v>
      </c>
      <c r="D8" s="71" t="str">
        <f>'Restating Adj'!D8</f>
        <v>3.2</v>
      </c>
      <c r="E8" s="71" t="str">
        <f>'Restating Adj'!E8</f>
        <v>3.3</v>
      </c>
      <c r="F8" s="72" t="str">
        <f>'Restating Adj'!F8</f>
        <v>3.4</v>
      </c>
      <c r="G8" s="73" t="str">
        <f>'Restating Adj'!G8</f>
        <v>4.1</v>
      </c>
      <c r="H8" s="74" t="str">
        <f>'Restating Adj'!H8</f>
        <v>4.2</v>
      </c>
      <c r="I8" s="71" t="str">
        <f>'Restating Adj'!I8</f>
        <v>4.3</v>
      </c>
      <c r="J8" s="71" t="str">
        <f>'Restating Adj'!J8</f>
        <v>4.4</v>
      </c>
      <c r="K8" s="71" t="str">
        <f>'Restating Adj'!K8</f>
        <v>4.5</v>
      </c>
      <c r="L8" s="71" t="str">
        <f>'Restating Adj'!L8</f>
        <v>4.6</v>
      </c>
      <c r="M8" s="72" t="str">
        <f>'Restating Adj'!M8</f>
        <v>4.7</v>
      </c>
      <c r="N8" s="74" t="str">
        <f>'Restating Adj'!N8</f>
        <v>4.8</v>
      </c>
      <c r="O8" s="71" t="str">
        <f>'Restating Adj'!O8</f>
        <v>4.9</v>
      </c>
      <c r="P8" s="71" t="str">
        <f>'Restating Adj'!P8</f>
        <v>4.10</v>
      </c>
      <c r="Q8" s="71" t="str">
        <f>'Restating Adj'!Q8</f>
        <v>4.11</v>
      </c>
      <c r="R8" s="71" t="str">
        <f>'Restating Adj'!R8</f>
        <v>4.12</v>
      </c>
      <c r="S8" s="280" t="str">
        <f>'Restating Adj'!S8</f>
        <v>4.13</v>
      </c>
      <c r="T8" s="261" t="str">
        <f>'Restating Adj'!T8</f>
        <v>5.1</v>
      </c>
      <c r="U8" s="262" t="str">
        <f>'Restating Adj'!U8</f>
        <v>5.2</v>
      </c>
      <c r="V8" s="71" t="str">
        <f>'Restating Adj'!V8</f>
        <v>5.3</v>
      </c>
      <c r="W8" s="71" t="str">
        <f>'Restating Adj'!W8</f>
        <v>5.4</v>
      </c>
      <c r="X8" s="72" t="str">
        <f>'Restating Adj'!X8</f>
        <v>5.5</v>
      </c>
      <c r="Y8" s="73" t="str">
        <f>'Restating Adj'!Y8</f>
        <v>6.1</v>
      </c>
      <c r="Z8" s="74" t="str">
        <f>'Restating Adj'!Z8</f>
        <v>6.2</v>
      </c>
      <c r="AA8" s="71" t="str">
        <f>'Restating Adj'!AA8</f>
        <v>6.3</v>
      </c>
      <c r="AB8" s="71" t="str">
        <f>'Restating Adj'!AB8</f>
        <v>6.4</v>
      </c>
      <c r="AC8" s="72" t="str">
        <f>'Restating Adj'!AC8</f>
        <v>6.5</v>
      </c>
      <c r="AD8" s="74" t="str">
        <f>'Restating Adj'!AD8</f>
        <v>7.1</v>
      </c>
      <c r="AE8" s="72" t="str">
        <f>'Restating Adj'!AE8</f>
        <v>7.2</v>
      </c>
      <c r="AF8" s="74" t="str">
        <f>'Restating Adj'!AF8</f>
        <v>7.3</v>
      </c>
      <c r="AG8" s="71" t="str">
        <f>'Restating Adj'!AG8</f>
        <v>7.4</v>
      </c>
      <c r="AH8" s="71" t="str">
        <f>'Restating Adj'!AH8</f>
        <v>7.5</v>
      </c>
      <c r="AI8" s="71" t="str">
        <f>'Restating Adj'!AI8</f>
        <v>7.6</v>
      </c>
      <c r="AJ8" s="71" t="str">
        <f>'Restating Adj'!AJ8</f>
        <v>7.7</v>
      </c>
      <c r="AK8" s="72" t="str">
        <f>'Restating Adj'!AK8</f>
        <v>7.8</v>
      </c>
      <c r="AL8" s="74" t="str">
        <f>'Restating Adj'!AL8</f>
        <v>7.9</v>
      </c>
      <c r="AM8" s="71" t="str">
        <f>'Restating Adj'!AM8</f>
        <v>7.10</v>
      </c>
      <c r="AN8" s="71" t="str">
        <f>'Restating Adj'!AN8</f>
        <v>7.11</v>
      </c>
      <c r="AO8" s="72" t="str">
        <f>'Restating Adj'!AO8</f>
        <v>7.12</v>
      </c>
      <c r="AP8" s="74" t="str">
        <f>'Restating Adj'!AP8</f>
        <v>8.1</v>
      </c>
      <c r="AQ8" s="72" t="str">
        <f>'Restating Adj'!AQ8</f>
        <v>8.2</v>
      </c>
      <c r="AR8" s="74" t="str">
        <f>'Restating Adj'!AR8</f>
        <v>8.3</v>
      </c>
      <c r="AS8" s="71" t="str">
        <f>'Restating Adj'!AS8</f>
        <v>8.4</v>
      </c>
      <c r="AT8" s="71" t="str">
        <f>'Restating Adj'!AT8</f>
        <v>8.5</v>
      </c>
      <c r="AU8" s="71" t="str">
        <f>'Restating Adj'!AU8</f>
        <v>8.6</v>
      </c>
      <c r="AV8" s="71" t="str">
        <f>'Restating Adj'!AV8</f>
        <v>8.7</v>
      </c>
      <c r="AW8" s="72" t="str">
        <f>'Restating Adj'!AW8</f>
        <v>8.8</v>
      </c>
      <c r="AX8" s="261" t="str">
        <f>'Restating Adj'!AX8</f>
        <v>8.9</v>
      </c>
      <c r="AY8" s="262" t="str">
        <f>'Restating Adj'!AY8</f>
        <v>8.10</v>
      </c>
      <c r="AZ8" s="262" t="str">
        <f>'Restating Adj'!AZ8</f>
        <v>8.11</v>
      </c>
      <c r="BA8" s="262" t="str">
        <f>'Restating Adj'!BA8</f>
        <v>8.12</v>
      </c>
      <c r="BB8" s="262" t="str">
        <f>'Restating Adj'!BB8</f>
        <v>8.13</v>
      </c>
      <c r="BC8" s="280" t="str">
        <f>'Restating Adj'!BC8</f>
        <v>8.14</v>
      </c>
      <c r="BD8" s="261" t="s">
        <v>307</v>
      </c>
      <c r="BE8" s="262" t="s">
        <v>308</v>
      </c>
      <c r="BF8" s="262" t="s">
        <v>309</v>
      </c>
      <c r="BG8" s="280" t="s">
        <v>313</v>
      </c>
    </row>
    <row r="9" spans="1:59" s="150" customFormat="1" ht="81" customHeight="1" x14ac:dyDescent="0.2">
      <c r="A9" s="14"/>
      <c r="B9" s="268" t="s">
        <v>252</v>
      </c>
      <c r="C9" s="99" t="str">
        <f>'Restating Adj'!C9</f>
        <v>Temperature Normalization</v>
      </c>
      <c r="D9" s="101" t="str">
        <f>'Restating Adj'!D9</f>
        <v>Revenue Normalizing</v>
      </c>
      <c r="E9" s="101" t="str">
        <f>'Restating Adj'!E9</f>
        <v>Wheeling Revenue</v>
      </c>
      <c r="F9" s="100" t="str">
        <f>'Restating Adj'!F9</f>
        <v>Ancillary Revenue</v>
      </c>
      <c r="G9" s="274" t="str">
        <f>'Restating Adj'!G9</f>
        <v>Miscellaneous Expense &amp; Revenue</v>
      </c>
      <c r="H9" s="99" t="str">
        <f>'Restating Adj'!H9</f>
        <v>General Wage Increase (Annualizing)</v>
      </c>
      <c r="I9" s="101" t="str">
        <f>'Restating Adj'!I9</f>
        <v>General Wage Increase 
(Pro Forma)</v>
      </c>
      <c r="J9" s="101" t="str">
        <f>'Restating Adj'!J9</f>
        <v>Insurance Expense</v>
      </c>
      <c r="K9" s="101" t="str">
        <f>'Restating Adj'!K9</f>
        <v>Advertising</v>
      </c>
      <c r="L9" s="101" t="str">
        <f>'Restating Adj'!L9</f>
        <v>Memberships &amp; Subscriptions</v>
      </c>
      <c r="M9" s="100" t="str">
        <f>'Restating Adj'!M9</f>
        <v>Revenue-Sensitive/ Uncollectible Expense</v>
      </c>
      <c r="N9" s="99" t="str">
        <f>'Restating Adj'!N9</f>
        <v>Legal Expenses</v>
      </c>
      <c r="O9" s="101" t="str">
        <f>'Restating Adj'!O9</f>
        <v>Payment Fees and Bill Credits</v>
      </c>
      <c r="P9" s="101" t="str">
        <f>'Restating Adj'!P9</f>
        <v>Remove Non-Recurring Entries</v>
      </c>
      <c r="Q9" s="101" t="str">
        <f>'Restating Adj'!Q9</f>
        <v>Environmental Remediation</v>
      </c>
      <c r="R9" s="101" t="str">
        <f>'Restating Adj'!R9</f>
        <v>Credit Facility Fee Adjustment</v>
      </c>
      <c r="S9" s="100" t="str">
        <f>'Restating Adj'!S9</f>
        <v>Amortization of Pension Settlement Adjustment</v>
      </c>
      <c r="T9" s="99" t="str">
        <f>'Restating Adj'!T9</f>
        <v>Net Power Costs - Restating</v>
      </c>
      <c r="U9" s="101" t="str">
        <f>'Restating Adj'!U9</f>
        <v>Net Power Costs - Pro Forma</v>
      </c>
      <c r="V9" s="101" t="str">
        <f>'Restating Adj'!V9</f>
        <v>Colstrip #3 Removal</v>
      </c>
      <c r="W9" s="101" t="str">
        <f>'Restating Adj'!W9</f>
        <v>REC Purchase Adjustment</v>
      </c>
      <c r="X9" s="100" t="str">
        <f>'Restating Adj'!X9</f>
        <v>Nodal Pricing Model Adjustment</v>
      </c>
      <c r="Y9" s="274" t="str">
        <f>'Restating Adj'!Y9</f>
        <v>Pro Forma Depreciation &amp; Amortization Expense</v>
      </c>
      <c r="Z9" s="99" t="str">
        <f>'Restating Adj'!Z9</f>
        <v>Pro Forma Depreciation &amp; Amortization Reserves</v>
      </c>
      <c r="AA9" s="101" t="str">
        <f>'Restating Adj'!AA9</f>
        <v>End-of-Period Reserves</v>
      </c>
      <c r="AB9" s="101" t="str">
        <f>'Restating Adj'!AB9</f>
        <v>Accelerated Depreciation on Jim Bridger &amp; Colstrip</v>
      </c>
      <c r="AC9" s="100" t="str">
        <f>'Restating Adj'!AC9</f>
        <v>Depreciation Study</v>
      </c>
      <c r="AD9" s="99" t="str">
        <f>'Restating Adj'!AD9</f>
        <v>Interest True Up</v>
      </c>
      <c r="AE9" s="100" t="str">
        <f>'Restating Adj'!AE9</f>
        <v>Property Tax Expense</v>
      </c>
      <c r="AF9" s="99" t="str">
        <f>'Restating Adj'!AF9</f>
        <v>Production Tax Credit</v>
      </c>
      <c r="AG9" s="101" t="str">
        <f>'Restating Adj'!AG9</f>
        <v>PowerTax ADIT Balance</v>
      </c>
      <c r="AH9" s="101" t="str">
        <f>'Restating Adj'!AH9</f>
        <v>Permanent Schedule M Adjustment</v>
      </c>
      <c r="AI9" s="101" t="str">
        <f>'Restating Adj'!AI9</f>
        <v>Remove Deferred State Tax Expense &amp; Balance</v>
      </c>
      <c r="AJ9" s="101" t="str">
        <f>'Restating Adj'!AJ9</f>
        <v>WA Public Utility Tax Adjustment</v>
      </c>
      <c r="AK9" s="100" t="str">
        <f>'Restating Adj'!AK9</f>
        <v>AFUDC Equity</v>
      </c>
      <c r="AL9" s="99" t="str">
        <f>'Restating Adj'!AL9</f>
        <v>WA Low Income Tax Credit</v>
      </c>
      <c r="AM9" s="101" t="str">
        <f>'Restating Adj'!AM9</f>
        <v>Wyoming Wind Generation Tax</v>
      </c>
      <c r="AN9" s="101" t="str">
        <f>'Restating Adj'!AN9</f>
        <v>Removal of TCJA Deferred Balances</v>
      </c>
      <c r="AO9" s="100" t="str">
        <f>'Restating Adj'!AO9</f>
        <v>Depreciation Study Adjustment Tax Impacts</v>
      </c>
      <c r="AP9" s="99" t="str">
        <f>'Restating Adj'!AP9</f>
        <v>Jim Bridger Mine Rate Base</v>
      </c>
      <c r="AQ9" s="100" t="str">
        <f>'Restating Adj'!AQ9</f>
        <v>Regulatory Assets and Liabilities Amortization</v>
      </c>
      <c r="AR9" s="99" t="str">
        <f>'Restating Adj'!AR9</f>
        <v>Customer Advances for Construction</v>
      </c>
      <c r="AS9" s="101" t="str">
        <f>'Restating Adj'!AS9</f>
        <v>Pro Forma Major Plant Additions</v>
      </c>
      <c r="AT9" s="101" t="str">
        <f>'Restating Adj'!AT9</f>
        <v>Miscellaneous Rate Base</v>
      </c>
      <c r="AU9" s="101" t="str">
        <f>'Restating Adj'!AU9</f>
        <v>Removal of Colstrip #4 AFUDC</v>
      </c>
      <c r="AV9" s="101" t="str">
        <f>'Restating Adj'!AV9</f>
        <v>Customer Service Deposits</v>
      </c>
      <c r="AW9" s="100" t="str">
        <f>'Restating Adj'!AW9</f>
        <v>Investor Supplied Working Capital</v>
      </c>
      <c r="AX9" s="99" t="str">
        <f>'Restating Adj'!AX9</f>
        <v>Removal of Bridger SCR</v>
      </c>
      <c r="AY9" s="101" t="str">
        <f>'Restating Adj'!AY9</f>
        <v>End-of-Period Plant Balances</v>
      </c>
      <c r="AZ9" s="101" t="str">
        <f>'Restating Adj'!AZ9</f>
        <v>Idaho Asset Exchange</v>
      </c>
      <c r="BA9" s="101" t="str">
        <f>'Restating Adj'!BA9</f>
        <v>Repowering Project Capital Additions</v>
      </c>
      <c r="BB9" s="101" t="str">
        <f>'Restating Adj'!BB9</f>
        <v>New Wind Generation and Associated Transmission Capital Additions</v>
      </c>
      <c r="BC9" s="100" t="str">
        <f>'Restating Adj'!BC9</f>
        <v>Other Plant Closure Costs</v>
      </c>
      <c r="BD9" s="99" t="s">
        <v>243</v>
      </c>
      <c r="BE9" s="101" t="s">
        <v>310</v>
      </c>
      <c r="BF9" s="101" t="s">
        <v>311</v>
      </c>
      <c r="BG9" s="100" t="s">
        <v>312</v>
      </c>
    </row>
    <row r="10" spans="1:59" x14ac:dyDescent="0.2">
      <c r="B10" s="269"/>
      <c r="C10" s="37"/>
      <c r="F10" s="83"/>
      <c r="G10" s="158"/>
      <c r="H10" s="37"/>
      <c r="M10" s="83"/>
      <c r="N10" s="37"/>
      <c r="S10" s="83"/>
      <c r="T10" s="37"/>
      <c r="X10" s="83"/>
      <c r="Y10" s="158"/>
      <c r="Z10" s="37"/>
      <c r="AC10" s="83"/>
      <c r="AD10" s="37"/>
      <c r="AE10" s="83"/>
      <c r="AF10" s="37"/>
      <c r="AK10" s="83"/>
      <c r="AL10" s="37"/>
      <c r="AO10" s="83"/>
      <c r="AP10" s="37"/>
      <c r="AQ10" s="83"/>
      <c r="AR10" s="37"/>
      <c r="AW10" s="83"/>
      <c r="AX10" s="37"/>
      <c r="BC10" s="83"/>
      <c r="BD10" s="37"/>
      <c r="BG10" s="83"/>
    </row>
    <row r="11" spans="1:59" x14ac:dyDescent="0.2">
      <c r="A11" s="14" t="s">
        <v>45</v>
      </c>
      <c r="B11" s="28"/>
      <c r="C11" s="28"/>
      <c r="D11" s="12"/>
      <c r="E11" s="12"/>
      <c r="F11" s="75"/>
      <c r="G11" s="76"/>
      <c r="H11" s="28"/>
      <c r="I11" s="12"/>
      <c r="J11" s="12"/>
      <c r="K11" s="12"/>
      <c r="L11" s="12"/>
      <c r="M11" s="75"/>
      <c r="N11" s="28"/>
      <c r="O11" s="12"/>
      <c r="P11" s="12"/>
      <c r="Q11" s="12"/>
      <c r="R11" s="12"/>
      <c r="S11" s="75"/>
      <c r="T11" s="28"/>
      <c r="U11" s="12"/>
      <c r="V11" s="12"/>
      <c r="W11" s="12"/>
      <c r="X11" s="75"/>
      <c r="Y11" s="76"/>
      <c r="Z11" s="28"/>
      <c r="AA11" s="12"/>
      <c r="AB11" s="12"/>
      <c r="AC11" s="75"/>
      <c r="AD11" s="28"/>
      <c r="AE11" s="75"/>
      <c r="AF11" s="28"/>
      <c r="AG11" s="12"/>
      <c r="AH11" s="12"/>
      <c r="AI11" s="12"/>
      <c r="AJ11" s="12"/>
      <c r="AK11" s="75"/>
      <c r="AL11" s="28"/>
      <c r="AM11" s="12"/>
      <c r="AN11" s="12"/>
      <c r="AO11" s="75"/>
      <c r="AP11" s="28"/>
      <c r="AQ11" s="75"/>
      <c r="AR11" s="28"/>
      <c r="AS11" s="12"/>
      <c r="AT11" s="12"/>
      <c r="AU11" s="12"/>
      <c r="AV11" s="12"/>
      <c r="AW11" s="75"/>
      <c r="AX11" s="28"/>
      <c r="AY11" s="12"/>
      <c r="AZ11" s="12"/>
      <c r="BA11" s="12"/>
      <c r="BB11" s="12"/>
      <c r="BC11" s="75"/>
      <c r="BD11" s="28"/>
      <c r="BE11" s="12"/>
      <c r="BF11" s="12"/>
      <c r="BG11" s="75"/>
    </row>
    <row r="12" spans="1:59" x14ac:dyDescent="0.2">
      <c r="A12" s="14" t="s">
        <v>46</v>
      </c>
      <c r="B12" s="29">
        <f>SUM(C12:BG12)</f>
        <v>17418111.240000013</v>
      </c>
      <c r="C12" s="30"/>
      <c r="D12" s="79"/>
      <c r="E12" s="79"/>
      <c r="F12" s="80"/>
      <c r="G12" s="275"/>
      <c r="H12" s="30"/>
      <c r="I12" s="79"/>
      <c r="J12" s="79"/>
      <c r="K12" s="79"/>
      <c r="L12" s="79"/>
      <c r="M12" s="80"/>
      <c r="N12" s="30"/>
      <c r="O12" s="79"/>
      <c r="P12" s="79"/>
      <c r="Q12" s="79"/>
      <c r="R12" s="79"/>
      <c r="S12" s="80"/>
      <c r="T12" s="30"/>
      <c r="U12" s="79"/>
      <c r="V12" s="79"/>
      <c r="W12" s="79"/>
      <c r="X12" s="80"/>
      <c r="Y12" s="275"/>
      <c r="Z12" s="30"/>
      <c r="AA12" s="79"/>
      <c r="AB12" s="79"/>
      <c r="AC12" s="80"/>
      <c r="AD12" s="30"/>
      <c r="AE12" s="80"/>
      <c r="AF12" s="30"/>
      <c r="AG12" s="79"/>
      <c r="AH12" s="79"/>
      <c r="AI12" s="79"/>
      <c r="AJ12" s="79"/>
      <c r="AK12" s="80"/>
      <c r="AL12" s="30"/>
      <c r="AM12" s="79"/>
      <c r="AN12" s="79"/>
      <c r="AO12" s="80"/>
      <c r="AP12" s="30"/>
      <c r="AQ12" s="80">
        <f>SUM('[31]Page 8.2'!$I$15:$I$17)</f>
        <v>17418111.240000013</v>
      </c>
      <c r="AR12" s="30"/>
      <c r="AS12" s="79"/>
      <c r="AT12" s="79"/>
      <c r="AU12" s="79"/>
      <c r="AV12" s="79"/>
      <c r="AW12" s="80"/>
      <c r="AX12" s="30"/>
      <c r="AY12" s="79"/>
      <c r="AZ12" s="79"/>
      <c r="BA12" s="79"/>
      <c r="BB12" s="79"/>
      <c r="BC12" s="80"/>
      <c r="BD12" s="30"/>
      <c r="BE12" s="79"/>
      <c r="BF12" s="79"/>
      <c r="BG12" s="80"/>
    </row>
    <row r="13" spans="1:59" x14ac:dyDescent="0.2">
      <c r="A13" s="14" t="s">
        <v>47</v>
      </c>
      <c r="B13" s="29">
        <f t="shared" ref="B13:B15" si="0">SUM(C13:BG13)</f>
        <v>0</v>
      </c>
      <c r="C13" s="30"/>
      <c r="D13" s="79"/>
      <c r="E13" s="79"/>
      <c r="F13" s="80"/>
      <c r="G13" s="275"/>
      <c r="H13" s="30"/>
      <c r="I13" s="79"/>
      <c r="J13" s="79"/>
      <c r="K13" s="79"/>
      <c r="L13" s="79"/>
      <c r="M13" s="80"/>
      <c r="N13" s="30"/>
      <c r="O13" s="79"/>
      <c r="P13" s="79"/>
      <c r="Q13" s="79"/>
      <c r="R13" s="79"/>
      <c r="S13" s="80"/>
      <c r="T13" s="30"/>
      <c r="U13" s="79"/>
      <c r="V13" s="79"/>
      <c r="W13" s="79"/>
      <c r="X13" s="80"/>
      <c r="Y13" s="275"/>
      <c r="Z13" s="30"/>
      <c r="AA13" s="79"/>
      <c r="AB13" s="79"/>
      <c r="AC13" s="80"/>
      <c r="AD13" s="30"/>
      <c r="AE13" s="80"/>
      <c r="AF13" s="30"/>
      <c r="AG13" s="79"/>
      <c r="AH13" s="79"/>
      <c r="AI13" s="79"/>
      <c r="AJ13" s="79"/>
      <c r="AK13" s="80"/>
      <c r="AL13" s="30"/>
      <c r="AM13" s="79"/>
      <c r="AN13" s="79"/>
      <c r="AO13" s="80"/>
      <c r="AP13" s="30"/>
      <c r="AQ13" s="80"/>
      <c r="AR13" s="30"/>
      <c r="AS13" s="79"/>
      <c r="AT13" s="79"/>
      <c r="AU13" s="79"/>
      <c r="AV13" s="79"/>
      <c r="AW13" s="80"/>
      <c r="AX13" s="30"/>
      <c r="AY13" s="79"/>
      <c r="AZ13" s="79"/>
      <c r="BA13" s="79"/>
      <c r="BB13" s="79"/>
      <c r="BC13" s="80"/>
      <c r="BD13" s="30"/>
      <c r="BE13" s="79"/>
      <c r="BF13" s="79"/>
      <c r="BG13" s="80"/>
    </row>
    <row r="14" spans="1:59" x14ac:dyDescent="0.2">
      <c r="A14" s="14" t="s">
        <v>48</v>
      </c>
      <c r="B14" s="29">
        <f t="shared" si="0"/>
        <v>-14866338.791918496</v>
      </c>
      <c r="C14" s="30"/>
      <c r="D14" s="79"/>
      <c r="E14" s="79"/>
      <c r="F14" s="80"/>
      <c r="G14" s="275"/>
      <c r="H14" s="30"/>
      <c r="I14" s="79"/>
      <c r="J14" s="79"/>
      <c r="K14" s="79"/>
      <c r="L14" s="79"/>
      <c r="M14" s="80"/>
      <c r="N14" s="30"/>
      <c r="O14" s="79"/>
      <c r="P14" s="79"/>
      <c r="Q14" s="79"/>
      <c r="R14" s="79"/>
      <c r="S14" s="80"/>
      <c r="T14" s="30"/>
      <c r="U14" s="79">
        <f>'[32]Page 5.2'!$I$13</f>
        <v>-14800952.647608532</v>
      </c>
      <c r="V14" s="79"/>
      <c r="W14" s="79"/>
      <c r="X14" s="80"/>
      <c r="Y14" s="275"/>
      <c r="Z14" s="30"/>
      <c r="AA14" s="79"/>
      <c r="AB14" s="79"/>
      <c r="AC14" s="80"/>
      <c r="AD14" s="30"/>
      <c r="AE14" s="80"/>
      <c r="AF14" s="30"/>
      <c r="AG14" s="79"/>
      <c r="AH14" s="79"/>
      <c r="AI14" s="79"/>
      <c r="AJ14" s="79"/>
      <c r="AK14" s="80"/>
      <c r="AL14" s="30"/>
      <c r="AM14" s="79"/>
      <c r="AN14" s="79"/>
      <c r="AO14" s="80"/>
      <c r="AP14" s="30"/>
      <c r="AQ14" s="80"/>
      <c r="AR14" s="30"/>
      <c r="AS14" s="79"/>
      <c r="AT14" s="79"/>
      <c r="AU14" s="79"/>
      <c r="AV14" s="79"/>
      <c r="AW14" s="80"/>
      <c r="AX14" s="30"/>
      <c r="AY14" s="79"/>
      <c r="AZ14" s="79"/>
      <c r="BA14" s="79"/>
      <c r="BB14" s="79"/>
      <c r="BC14" s="80"/>
      <c r="BD14" s="30">
        <f>SUM('[33]Pages 9.1 - 9.1.1'!$I$39:$I$40)</f>
        <v>-65386.144309964031</v>
      </c>
      <c r="BE14" s="79"/>
      <c r="BF14" s="79"/>
      <c r="BG14" s="80"/>
    </row>
    <row r="15" spans="1:59" x14ac:dyDescent="0.2">
      <c r="A15" s="14" t="s">
        <v>49</v>
      </c>
      <c r="B15" s="29">
        <f t="shared" si="0"/>
        <v>1268157.0965046838</v>
      </c>
      <c r="C15" s="30"/>
      <c r="D15" s="79"/>
      <c r="E15" s="79">
        <f>'[5]Page 3.3'!$I$13</f>
        <v>167914.72285031062</v>
      </c>
      <c r="F15" s="80">
        <f>'[34]Page 3.4'!$I$13</f>
        <v>456610.92888002045</v>
      </c>
      <c r="G15" s="275"/>
      <c r="H15" s="30"/>
      <c r="I15" s="79"/>
      <c r="J15" s="79"/>
      <c r="K15" s="79"/>
      <c r="L15" s="79"/>
      <c r="M15" s="80"/>
      <c r="N15" s="30"/>
      <c r="O15" s="79">
        <f>SUM('[35]Page 4.9'!$I$15:$I$16)</f>
        <v>-427912.20158807386</v>
      </c>
      <c r="P15" s="79"/>
      <c r="Q15" s="79"/>
      <c r="R15" s="79"/>
      <c r="S15" s="80"/>
      <c r="T15" s="30"/>
      <c r="U15" s="79"/>
      <c r="V15" s="79"/>
      <c r="W15" s="79"/>
      <c r="X15" s="80"/>
      <c r="Y15" s="275"/>
      <c r="Z15" s="30"/>
      <c r="AA15" s="79"/>
      <c r="AB15" s="79"/>
      <c r="AC15" s="80"/>
      <c r="AD15" s="30"/>
      <c r="AE15" s="80"/>
      <c r="AF15" s="30"/>
      <c r="AG15" s="79"/>
      <c r="AH15" s="79"/>
      <c r="AI15" s="79"/>
      <c r="AJ15" s="79"/>
      <c r="AK15" s="80"/>
      <c r="AL15" s="30"/>
      <c r="AM15" s="79"/>
      <c r="AN15" s="79"/>
      <c r="AO15" s="80"/>
      <c r="AP15" s="30"/>
      <c r="AQ15" s="80">
        <f>'[31]Page 8.2'!$I$18</f>
        <v>47809.260000000009</v>
      </c>
      <c r="AR15" s="30"/>
      <c r="AS15" s="79"/>
      <c r="AT15" s="79"/>
      <c r="AU15" s="79"/>
      <c r="AV15" s="79"/>
      <c r="AW15" s="80"/>
      <c r="AX15" s="30"/>
      <c r="AY15" s="79"/>
      <c r="AZ15" s="79"/>
      <c r="BA15" s="79"/>
      <c r="BB15" s="79"/>
      <c r="BC15" s="80"/>
      <c r="BD15" s="30">
        <f>'[33]Pages 9.1 - 9.1.1'!$I$72</f>
        <v>-9999.7793424724368</v>
      </c>
      <c r="BE15" s="79"/>
      <c r="BF15" s="79"/>
      <c r="BG15" s="80">
        <f>'[36]Page 9.4'!$I$14</f>
        <v>1033734.165704899</v>
      </c>
    </row>
    <row r="16" spans="1:59" x14ac:dyDescent="0.2">
      <c r="A16" s="14" t="s">
        <v>50</v>
      </c>
      <c r="B16" s="31">
        <f>SUM(C16:BG16)</f>
        <v>3819929.5445862026</v>
      </c>
      <c r="C16" s="31">
        <f>SUM(C12:C15)</f>
        <v>0</v>
      </c>
      <c r="D16" s="81">
        <f t="shared" ref="D16:BG16" si="1">SUM(D12:D15)</f>
        <v>0</v>
      </c>
      <c r="E16" s="81">
        <f>SUM(E12:E15)</f>
        <v>167914.72285031062</v>
      </c>
      <c r="F16" s="82">
        <f>SUM(F12:F15)</f>
        <v>456610.92888002045</v>
      </c>
      <c r="G16" s="151">
        <f t="shared" si="1"/>
        <v>0</v>
      </c>
      <c r="H16" s="31">
        <f t="shared" si="1"/>
        <v>0</v>
      </c>
      <c r="I16" s="81">
        <f t="shared" si="1"/>
        <v>0</v>
      </c>
      <c r="J16" s="81">
        <f t="shared" si="1"/>
        <v>0</v>
      </c>
      <c r="K16" s="81">
        <f t="shared" si="1"/>
        <v>0</v>
      </c>
      <c r="L16" s="81">
        <f t="shared" si="1"/>
        <v>0</v>
      </c>
      <c r="M16" s="82">
        <f t="shared" si="1"/>
        <v>0</v>
      </c>
      <c r="N16" s="31">
        <f t="shared" si="1"/>
        <v>0</v>
      </c>
      <c r="O16" s="81">
        <f t="shared" si="1"/>
        <v>-427912.20158807386</v>
      </c>
      <c r="P16" s="81">
        <f t="shared" si="1"/>
        <v>0</v>
      </c>
      <c r="Q16" s="81">
        <f t="shared" si="1"/>
        <v>0</v>
      </c>
      <c r="R16" s="81">
        <f t="shared" si="1"/>
        <v>0</v>
      </c>
      <c r="S16" s="82">
        <f t="shared" si="1"/>
        <v>0</v>
      </c>
      <c r="T16" s="31">
        <f t="shared" si="1"/>
        <v>0</v>
      </c>
      <c r="U16" s="81">
        <f t="shared" si="1"/>
        <v>-14800952.647608532</v>
      </c>
      <c r="V16" s="81">
        <f t="shared" si="1"/>
        <v>0</v>
      </c>
      <c r="W16" s="81">
        <f t="shared" ref="W16:X16" si="2">SUM(W12:W15)</f>
        <v>0</v>
      </c>
      <c r="X16" s="82">
        <f t="shared" si="2"/>
        <v>0</v>
      </c>
      <c r="Y16" s="151">
        <f t="shared" si="1"/>
        <v>0</v>
      </c>
      <c r="Z16" s="31">
        <f t="shared" si="1"/>
        <v>0</v>
      </c>
      <c r="AA16" s="81">
        <f t="shared" si="1"/>
        <v>0</v>
      </c>
      <c r="AB16" s="81">
        <f t="shared" si="1"/>
        <v>0</v>
      </c>
      <c r="AC16" s="82">
        <f t="shared" ref="AC16" si="3">SUM(AC12:AC15)</f>
        <v>0</v>
      </c>
      <c r="AD16" s="31">
        <f t="shared" si="1"/>
        <v>0</v>
      </c>
      <c r="AE16" s="82">
        <f t="shared" si="1"/>
        <v>0</v>
      </c>
      <c r="AF16" s="31">
        <f t="shared" si="1"/>
        <v>0</v>
      </c>
      <c r="AG16" s="81">
        <f t="shared" si="1"/>
        <v>0</v>
      </c>
      <c r="AH16" s="81">
        <f t="shared" si="1"/>
        <v>0</v>
      </c>
      <c r="AI16" s="81">
        <f t="shared" si="1"/>
        <v>0</v>
      </c>
      <c r="AJ16" s="81">
        <f t="shared" si="1"/>
        <v>0</v>
      </c>
      <c r="AK16" s="82">
        <f t="shared" si="1"/>
        <v>0</v>
      </c>
      <c r="AL16" s="31">
        <f t="shared" si="1"/>
        <v>0</v>
      </c>
      <c r="AM16" s="81">
        <f t="shared" ref="AM16:AO16" si="4">SUM(AM12:AM15)</f>
        <v>0</v>
      </c>
      <c r="AN16" s="81">
        <f t="shared" si="4"/>
        <v>0</v>
      </c>
      <c r="AO16" s="82">
        <f t="shared" si="4"/>
        <v>0</v>
      </c>
      <c r="AP16" s="31">
        <f t="shared" si="1"/>
        <v>0</v>
      </c>
      <c r="AQ16" s="82">
        <f t="shared" si="1"/>
        <v>17465920.500000015</v>
      </c>
      <c r="AR16" s="31">
        <f t="shared" si="1"/>
        <v>0</v>
      </c>
      <c r="AS16" s="81">
        <f t="shared" si="1"/>
        <v>0</v>
      </c>
      <c r="AT16" s="81">
        <f t="shared" ref="AT16" si="5">SUM(AT12:AT15)</f>
        <v>0</v>
      </c>
      <c r="AU16" s="81">
        <f t="shared" si="1"/>
        <v>0</v>
      </c>
      <c r="AV16" s="81">
        <f t="shared" si="1"/>
        <v>0</v>
      </c>
      <c r="AW16" s="82">
        <f t="shared" si="1"/>
        <v>0</v>
      </c>
      <c r="AX16" s="31">
        <f t="shared" si="1"/>
        <v>0</v>
      </c>
      <c r="AY16" s="81">
        <f t="shared" si="1"/>
        <v>0</v>
      </c>
      <c r="AZ16" s="81">
        <f t="shared" si="1"/>
        <v>0</v>
      </c>
      <c r="BA16" s="81">
        <f t="shared" si="1"/>
        <v>0</v>
      </c>
      <c r="BB16" s="81">
        <f t="shared" si="1"/>
        <v>0</v>
      </c>
      <c r="BC16" s="82">
        <f t="shared" ref="BC16" si="6">SUM(BC12:BC15)</f>
        <v>0</v>
      </c>
      <c r="BD16" s="31">
        <f t="shared" si="1"/>
        <v>-75385.923652436468</v>
      </c>
      <c r="BE16" s="81">
        <f t="shared" si="1"/>
        <v>0</v>
      </c>
      <c r="BF16" s="81">
        <f t="shared" si="1"/>
        <v>0</v>
      </c>
      <c r="BG16" s="82">
        <f t="shared" si="1"/>
        <v>1033734.165704899</v>
      </c>
    </row>
    <row r="17" spans="1:59" x14ac:dyDescent="0.2">
      <c r="A17" s="14"/>
      <c r="B17" s="28"/>
      <c r="C17" s="28"/>
      <c r="D17" s="12"/>
      <c r="E17" s="12"/>
      <c r="F17" s="75"/>
      <c r="G17" s="76"/>
      <c r="H17" s="28"/>
      <c r="I17" s="12"/>
      <c r="J17" s="12"/>
      <c r="K17" s="12"/>
      <c r="L17" s="12"/>
      <c r="M17" s="75"/>
      <c r="N17" s="28"/>
      <c r="O17" s="12"/>
      <c r="P17" s="12"/>
      <c r="Q17" s="12"/>
      <c r="R17" s="12"/>
      <c r="S17" s="75"/>
      <c r="T17" s="28"/>
      <c r="U17" s="12"/>
      <c r="V17" s="12"/>
      <c r="W17" s="12"/>
      <c r="X17" s="75"/>
      <c r="Y17" s="76"/>
      <c r="Z17" s="28"/>
      <c r="AA17" s="12"/>
      <c r="AB17" s="12"/>
      <c r="AC17" s="75"/>
      <c r="AD17" s="28"/>
      <c r="AE17" s="75"/>
      <c r="AF17" s="28"/>
      <c r="AG17" s="12"/>
      <c r="AH17" s="12"/>
      <c r="AI17" s="12"/>
      <c r="AJ17" s="12"/>
      <c r="AK17" s="75"/>
      <c r="AL17" s="28"/>
      <c r="AM17" s="12"/>
      <c r="AN17" s="12"/>
      <c r="AO17" s="75"/>
      <c r="AP17" s="28"/>
      <c r="AQ17" s="75"/>
      <c r="AR17" s="28"/>
      <c r="AS17" s="12"/>
      <c r="AT17" s="12"/>
      <c r="AU17" s="12"/>
      <c r="AV17" s="12"/>
      <c r="AW17" s="75"/>
      <c r="AX17" s="28"/>
      <c r="AY17" s="12"/>
      <c r="AZ17" s="12"/>
      <c r="BA17" s="12"/>
      <c r="BB17" s="12"/>
      <c r="BC17" s="75"/>
      <c r="BD17" s="28"/>
      <c r="BE17" s="12"/>
      <c r="BF17" s="12"/>
      <c r="BG17" s="75"/>
    </row>
    <row r="18" spans="1:59" x14ac:dyDescent="0.2">
      <c r="A18" s="14" t="s">
        <v>51</v>
      </c>
      <c r="B18" s="28"/>
      <c r="C18" s="28"/>
      <c r="D18" s="12"/>
      <c r="E18" s="12"/>
      <c r="F18" s="75"/>
      <c r="G18" s="76"/>
      <c r="H18" s="28"/>
      <c r="I18" s="12"/>
      <c r="J18" s="12"/>
      <c r="K18" s="12"/>
      <c r="L18" s="12"/>
      <c r="M18" s="75"/>
      <c r="N18" s="28"/>
      <c r="O18" s="12"/>
      <c r="P18" s="12"/>
      <c r="Q18" s="12"/>
      <c r="R18" s="12"/>
      <c r="S18" s="75"/>
      <c r="T18" s="28"/>
      <c r="U18" s="12"/>
      <c r="V18" s="12"/>
      <c r="W18" s="12"/>
      <c r="X18" s="75"/>
      <c r="Y18" s="76"/>
      <c r="Z18" s="28"/>
      <c r="AA18" s="12"/>
      <c r="AB18" s="12"/>
      <c r="AC18" s="75"/>
      <c r="AD18" s="28"/>
      <c r="AE18" s="75"/>
      <c r="AF18" s="28"/>
      <c r="AG18" s="12"/>
      <c r="AH18" s="12"/>
      <c r="AI18" s="12"/>
      <c r="AJ18" s="12"/>
      <c r="AK18" s="75"/>
      <c r="AL18" s="28"/>
      <c r="AM18" s="12"/>
      <c r="AN18" s="12"/>
      <c r="AO18" s="75"/>
      <c r="AP18" s="28"/>
      <c r="AQ18" s="75"/>
      <c r="AR18" s="28"/>
      <c r="AS18" s="12"/>
      <c r="AT18" s="12"/>
      <c r="AU18" s="12"/>
      <c r="AV18" s="12"/>
      <c r="AW18" s="75"/>
      <c r="AX18" s="28"/>
      <c r="AY18" s="12"/>
      <c r="AZ18" s="12"/>
      <c r="BA18" s="12"/>
      <c r="BB18" s="12"/>
      <c r="BC18" s="75"/>
      <c r="BD18" s="28"/>
      <c r="BE18" s="12"/>
      <c r="BF18" s="12"/>
      <c r="BG18" s="75"/>
    </row>
    <row r="19" spans="1:59" x14ac:dyDescent="0.2">
      <c r="A19" s="14" t="s">
        <v>52</v>
      </c>
      <c r="B19" s="29">
        <f t="shared" ref="B19:B28" si="7">SUM(C19:BG19)</f>
        <v>3422557.9804142676</v>
      </c>
      <c r="C19" s="30"/>
      <c r="D19" s="79"/>
      <c r="E19" s="79"/>
      <c r="F19" s="80"/>
      <c r="G19" s="275"/>
      <c r="H19" s="30"/>
      <c r="I19" s="79">
        <f>SUM('[6]Page 4.3'!$I$11:$I$14,'[6]Page 4.3'!$I$28:$I$29)</f>
        <v>221873.44761927234</v>
      </c>
      <c r="J19" s="79"/>
      <c r="K19" s="79"/>
      <c r="L19" s="79"/>
      <c r="M19" s="80"/>
      <c r="N19" s="30"/>
      <c r="O19" s="79"/>
      <c r="P19" s="79"/>
      <c r="Q19" s="79"/>
      <c r="R19" s="79"/>
      <c r="S19" s="80"/>
      <c r="T19" s="30"/>
      <c r="U19" s="79">
        <f>'[32]Page 5.2'!$I$32</f>
        <v>-4819811.2950298265</v>
      </c>
      <c r="V19" s="79"/>
      <c r="W19" s="79"/>
      <c r="X19" s="80"/>
      <c r="Y19" s="275"/>
      <c r="Z19" s="30"/>
      <c r="AA19" s="79"/>
      <c r="AB19" s="79"/>
      <c r="AC19" s="80">
        <f>SUM('[37]Page 6.5.2'!$I$9:$I$13,'[37]Page 6.5.2'!$I$24:$I$25,'[37]Page 6.5.2'!$I$49:$I$50,'[37]Page 6.5.2'!$I$53:$I$54)</f>
        <v>51760.195371981739</v>
      </c>
      <c r="AD19" s="30"/>
      <c r="AE19" s="80"/>
      <c r="AF19" s="30"/>
      <c r="AG19" s="79"/>
      <c r="AH19" s="79"/>
      <c r="AI19" s="79"/>
      <c r="AJ19" s="79"/>
      <c r="AK19" s="80"/>
      <c r="AL19" s="30"/>
      <c r="AM19" s="79"/>
      <c r="AN19" s="79"/>
      <c r="AO19" s="80"/>
      <c r="AP19" s="30"/>
      <c r="AQ19" s="80"/>
      <c r="AR19" s="30"/>
      <c r="AS19" s="79"/>
      <c r="AT19" s="79"/>
      <c r="AU19" s="79"/>
      <c r="AV19" s="79"/>
      <c r="AW19" s="80"/>
      <c r="AX19" s="30"/>
      <c r="AY19" s="79"/>
      <c r="AZ19" s="79"/>
      <c r="BA19" s="79"/>
      <c r="BB19" s="79"/>
      <c r="BC19" s="80">
        <v>8498026.3756711129</v>
      </c>
      <c r="BD19" s="30">
        <f>SUM('[33]Pages 9.1 - 9.1.1'!$I$46:$I$47)</f>
        <v>-1132973.696211217</v>
      </c>
      <c r="BE19" s="79">
        <f>SUM('[38]Page 9.2.1'!$I$18:$I$21)</f>
        <v>603682.95299294405</v>
      </c>
      <c r="BF19" s="79"/>
      <c r="BG19" s="80"/>
    </row>
    <row r="20" spans="1:59" x14ac:dyDescent="0.2">
      <c r="A20" s="14" t="s">
        <v>53</v>
      </c>
      <c r="B20" s="29">
        <f t="shared" si="7"/>
        <v>0</v>
      </c>
      <c r="C20" s="30"/>
      <c r="D20" s="79"/>
      <c r="E20" s="79"/>
      <c r="F20" s="80"/>
      <c r="G20" s="275"/>
      <c r="H20" s="30"/>
      <c r="I20" s="79"/>
      <c r="J20" s="79"/>
      <c r="K20" s="79"/>
      <c r="L20" s="79"/>
      <c r="M20" s="80"/>
      <c r="N20" s="30"/>
      <c r="O20" s="79"/>
      <c r="P20" s="79"/>
      <c r="Q20" s="79"/>
      <c r="R20" s="79"/>
      <c r="S20" s="80"/>
      <c r="T20" s="30"/>
      <c r="U20" s="79"/>
      <c r="V20" s="79"/>
      <c r="W20" s="79"/>
      <c r="X20" s="80"/>
      <c r="Y20" s="275"/>
      <c r="Z20" s="30"/>
      <c r="AA20" s="79"/>
      <c r="AB20" s="79"/>
      <c r="AC20" s="80"/>
      <c r="AD20" s="30"/>
      <c r="AE20" s="80"/>
      <c r="AF20" s="30"/>
      <c r="AG20" s="79"/>
      <c r="AH20" s="79"/>
      <c r="AI20" s="79"/>
      <c r="AJ20" s="79"/>
      <c r="AK20" s="80"/>
      <c r="AL20" s="30"/>
      <c r="AM20" s="79"/>
      <c r="AN20" s="79"/>
      <c r="AO20" s="80"/>
      <c r="AP20" s="30"/>
      <c r="AQ20" s="80"/>
      <c r="AR20" s="30"/>
      <c r="AS20" s="79"/>
      <c r="AT20" s="79"/>
      <c r="AU20" s="79"/>
      <c r="AV20" s="79"/>
      <c r="AW20" s="80"/>
      <c r="AX20" s="30"/>
      <c r="AY20" s="79"/>
      <c r="AZ20" s="79"/>
      <c r="BA20" s="79"/>
      <c r="BB20" s="79"/>
      <c r="BC20" s="80"/>
      <c r="BD20" s="30"/>
      <c r="BE20" s="79"/>
      <c r="BF20" s="79"/>
      <c r="BG20" s="80"/>
    </row>
    <row r="21" spans="1:59" x14ac:dyDescent="0.2">
      <c r="A21" s="14" t="s">
        <v>54</v>
      </c>
      <c r="B21" s="29">
        <f t="shared" si="7"/>
        <v>-3454581.1455041068</v>
      </c>
      <c r="C21" s="30"/>
      <c r="D21" s="79"/>
      <c r="E21" s="79"/>
      <c r="F21" s="80"/>
      <c r="G21" s="275"/>
      <c r="H21" s="30"/>
      <c r="I21" s="79">
        <f>SUM('[6]Page 4.3'!$I$16:$I$17,'[6]Page 4.3'!$I$30:$I$31)</f>
        <v>142370.73408091225</v>
      </c>
      <c r="J21" s="79"/>
      <c r="K21" s="79"/>
      <c r="L21" s="79"/>
      <c r="M21" s="80"/>
      <c r="N21" s="30"/>
      <c r="O21" s="79"/>
      <c r="P21" s="79"/>
      <c r="Q21" s="79"/>
      <c r="R21" s="79"/>
      <c r="S21" s="80"/>
      <c r="T21" s="30"/>
      <c r="U21" s="79"/>
      <c r="V21" s="79"/>
      <c r="W21" s="79"/>
      <c r="X21" s="80"/>
      <c r="Y21" s="275"/>
      <c r="Z21" s="30"/>
      <c r="AA21" s="79"/>
      <c r="AB21" s="79"/>
      <c r="AC21" s="80">
        <f>SUM('[37]Page 6.5.2'!$I$14:$I$15,'[37]Page 6.5.2'!$I$26:$I$27,'[37]Page 6.5.2'!$I$51)</f>
        <v>17854.508316736094</v>
      </c>
      <c r="AD21" s="30"/>
      <c r="AE21" s="80"/>
      <c r="AF21" s="30"/>
      <c r="AG21" s="79"/>
      <c r="AH21" s="79"/>
      <c r="AI21" s="79"/>
      <c r="AJ21" s="79"/>
      <c r="AK21" s="80"/>
      <c r="AL21" s="30"/>
      <c r="AM21" s="79"/>
      <c r="AN21" s="79"/>
      <c r="AO21" s="80"/>
      <c r="AP21" s="30"/>
      <c r="AQ21" s="80"/>
      <c r="AR21" s="30"/>
      <c r="AS21" s="79"/>
      <c r="AT21" s="79"/>
      <c r="AU21" s="79"/>
      <c r="AV21" s="79"/>
      <c r="AW21" s="80"/>
      <c r="AX21" s="30"/>
      <c r="AY21" s="79"/>
      <c r="AZ21" s="79"/>
      <c r="BA21" s="79"/>
      <c r="BB21" s="79"/>
      <c r="BC21" s="80"/>
      <c r="BD21" s="30"/>
      <c r="BE21" s="79">
        <f>SUM('[38]Page 9.2.1'!$I$10:$I$12)</f>
        <v>-3614806.387901755</v>
      </c>
      <c r="BF21" s="79"/>
      <c r="BG21" s="80"/>
    </row>
    <row r="22" spans="1:59" x14ac:dyDescent="0.2">
      <c r="A22" s="14" t="s">
        <v>55</v>
      </c>
      <c r="B22" s="29">
        <f t="shared" si="7"/>
        <v>3734508.1600795565</v>
      </c>
      <c r="C22" s="30"/>
      <c r="D22" s="79"/>
      <c r="E22" s="79"/>
      <c r="F22" s="80"/>
      <c r="G22" s="275"/>
      <c r="H22" s="30"/>
      <c r="I22" s="79">
        <f>SUM('[6]Page 4.3'!$I$18:$I$21,'[6]Page 4.3'!$I$32:$I$36)</f>
        <v>137832.42359638104</v>
      </c>
      <c r="J22" s="79"/>
      <c r="K22" s="79"/>
      <c r="L22" s="79"/>
      <c r="M22" s="80"/>
      <c r="N22" s="30"/>
      <c r="O22" s="79"/>
      <c r="P22" s="79"/>
      <c r="Q22" s="79"/>
      <c r="R22" s="79"/>
      <c r="S22" s="80"/>
      <c r="T22" s="30"/>
      <c r="U22" s="79">
        <f>SUM('[32]Page 5.2'!$I$16:$I$21,'[32]Page 5.2'!$I$33)</f>
        <v>2768149.0818852447</v>
      </c>
      <c r="V22" s="79"/>
      <c r="W22" s="79">
        <f>'[39]Page 5.4'!$I$12</f>
        <v>160000</v>
      </c>
      <c r="X22" s="80">
        <f>'[40]Page 5.5'!$I$12</f>
        <v>39055.520699857421</v>
      </c>
      <c r="Y22" s="275"/>
      <c r="Z22" s="30"/>
      <c r="AA22" s="79"/>
      <c r="AB22" s="79"/>
      <c r="AC22" s="80">
        <f>SUM('[37]Page 6.5.2'!$I$16:$I$17,'[37]Page 6.5.2'!$I$28:$I$32,'[37]Page 6.5.2'!$I$55)</f>
        <v>15623.621030583408</v>
      </c>
      <c r="AD22" s="30"/>
      <c r="AE22" s="80"/>
      <c r="AF22" s="30"/>
      <c r="AG22" s="79"/>
      <c r="AH22" s="79"/>
      <c r="AI22" s="79"/>
      <c r="AJ22" s="79"/>
      <c r="AK22" s="80"/>
      <c r="AL22" s="30"/>
      <c r="AM22" s="79"/>
      <c r="AN22" s="79"/>
      <c r="AO22" s="80"/>
      <c r="AP22" s="30"/>
      <c r="AQ22" s="80">
        <f>'[31]Page 8.2'!$I$22</f>
        <v>99999.999999999985</v>
      </c>
      <c r="AR22" s="30"/>
      <c r="AS22" s="79"/>
      <c r="AT22" s="79"/>
      <c r="AU22" s="79"/>
      <c r="AV22" s="79"/>
      <c r="AW22" s="80"/>
      <c r="AX22" s="30"/>
      <c r="AY22" s="79"/>
      <c r="AZ22" s="79"/>
      <c r="BA22" s="79"/>
      <c r="BB22" s="79">
        <f>'[41]Page 8.13'!$I$24</f>
        <v>1557310.668266339</v>
      </c>
      <c r="BC22" s="80"/>
      <c r="BD22" s="30">
        <f>'[33]Pages 9.1 - 9.1.1'!$I$36+SUM('[33]Pages 9.1 - 9.1.1'!$I$41:$I$43)+SUM('[33]Pages 9.1 - 9.1.1'!$I$48:$I$49)</f>
        <v>-1052100.0048153268</v>
      </c>
      <c r="BE22" s="79">
        <f>SUM('[38]Page 9.2.1'!$I$14:$I$16)</f>
        <v>8636.8494164773729</v>
      </c>
      <c r="BF22" s="79"/>
      <c r="BG22" s="80"/>
    </row>
    <row r="23" spans="1:59" x14ac:dyDescent="0.2">
      <c r="A23" s="14" t="s">
        <v>56</v>
      </c>
      <c r="B23" s="29">
        <f t="shared" si="7"/>
        <v>-16058293.141053868</v>
      </c>
      <c r="C23" s="30"/>
      <c r="D23" s="79"/>
      <c r="E23" s="79"/>
      <c r="F23" s="80"/>
      <c r="G23" s="275"/>
      <c r="H23" s="30"/>
      <c r="I23" s="79">
        <f>SUM('[6]Page 4.3'!$I$22:$I$25,'[6]Page 4.3'!$I$37:$I$40)</f>
        <v>105569.91512407501</v>
      </c>
      <c r="J23" s="79"/>
      <c r="K23" s="79"/>
      <c r="L23" s="79"/>
      <c r="M23" s="80"/>
      <c r="N23" s="30"/>
      <c r="O23" s="79"/>
      <c r="P23" s="79"/>
      <c r="Q23" s="79"/>
      <c r="R23" s="79"/>
      <c r="S23" s="80"/>
      <c r="T23" s="30"/>
      <c r="U23" s="79">
        <f>SUM('[32]Page 5.2'!$I$25:$I$28)</f>
        <v>-16017299.646470467</v>
      </c>
      <c r="V23" s="79"/>
      <c r="W23" s="79"/>
      <c r="X23" s="80"/>
      <c r="Y23" s="275"/>
      <c r="Z23" s="30"/>
      <c r="AA23" s="79"/>
      <c r="AB23" s="79"/>
      <c r="AC23" s="80">
        <f>SUM('[37]Page 6.5.2'!$I$18:$I$21,'[37]Page 6.5.2'!$I$33:$I$36)</f>
        <v>9961.9123770073802</v>
      </c>
      <c r="AD23" s="30"/>
      <c r="AE23" s="80"/>
      <c r="AF23" s="30"/>
      <c r="AG23" s="79"/>
      <c r="AH23" s="79"/>
      <c r="AI23" s="79"/>
      <c r="AJ23" s="79"/>
      <c r="AK23" s="80"/>
      <c r="AL23" s="30"/>
      <c r="AM23" s="79"/>
      <c r="AN23" s="79"/>
      <c r="AO23" s="80"/>
      <c r="AP23" s="30"/>
      <c r="AQ23" s="80"/>
      <c r="AR23" s="30"/>
      <c r="AS23" s="79"/>
      <c r="AT23" s="79"/>
      <c r="AU23" s="79"/>
      <c r="AV23" s="79"/>
      <c r="AW23" s="80"/>
      <c r="AX23" s="30"/>
      <c r="AY23" s="79"/>
      <c r="AZ23" s="79"/>
      <c r="BA23" s="79"/>
      <c r="BB23" s="79"/>
      <c r="BC23" s="80"/>
      <c r="BD23" s="30">
        <f>SUM('[33]Pages 9.1 - 9.1.1'!$I$44:$I$45)</f>
        <v>-246844.49038857035</v>
      </c>
      <c r="BE23" s="79"/>
      <c r="BF23" s="79"/>
      <c r="BG23" s="80">
        <f>'[36]Page 9.4'!$I$25</f>
        <v>90319.16830408643</v>
      </c>
    </row>
    <row r="24" spans="1:59" x14ac:dyDescent="0.2">
      <c r="A24" s="14" t="s">
        <v>57</v>
      </c>
      <c r="B24" s="29">
        <f t="shared" si="7"/>
        <v>393213.58067023917</v>
      </c>
      <c r="C24" s="30"/>
      <c r="D24" s="79"/>
      <c r="E24" s="79"/>
      <c r="F24" s="80"/>
      <c r="G24" s="275"/>
      <c r="H24" s="30"/>
      <c r="I24" s="79">
        <f>SUM('[6]Page 4.3'!$I$26:$I$27,'[6]Page 4.3'!$I$41:$I$42)</f>
        <v>359308.12517097819</v>
      </c>
      <c r="J24" s="79"/>
      <c r="K24" s="79"/>
      <c r="L24" s="79"/>
      <c r="M24" s="80"/>
      <c r="N24" s="30"/>
      <c r="O24" s="79"/>
      <c r="P24" s="79"/>
      <c r="Q24" s="79"/>
      <c r="R24" s="79"/>
      <c r="S24" s="80"/>
      <c r="T24" s="30"/>
      <c r="U24" s="79"/>
      <c r="V24" s="79"/>
      <c r="W24" s="79"/>
      <c r="X24" s="80"/>
      <c r="Y24" s="275"/>
      <c r="Z24" s="30"/>
      <c r="AA24" s="79"/>
      <c r="AB24" s="79"/>
      <c r="AC24" s="80">
        <f>SUM('[37]Page 6.5.2'!$I$22:$I$23,'[37]Page 6.5.2'!$I$37:$I$38)</f>
        <v>33905.455499260992</v>
      </c>
      <c r="AD24" s="30"/>
      <c r="AE24" s="80"/>
      <c r="AF24" s="30"/>
      <c r="AG24" s="79"/>
      <c r="AH24" s="79"/>
      <c r="AI24" s="79"/>
      <c r="AJ24" s="79"/>
      <c r="AK24" s="80"/>
      <c r="AL24" s="30"/>
      <c r="AM24" s="79"/>
      <c r="AN24" s="79"/>
      <c r="AO24" s="80"/>
      <c r="AP24" s="30"/>
      <c r="AQ24" s="80"/>
      <c r="AR24" s="30"/>
      <c r="AS24" s="79"/>
      <c r="AT24" s="79"/>
      <c r="AU24" s="79"/>
      <c r="AV24" s="79"/>
      <c r="AW24" s="80"/>
      <c r="AX24" s="30"/>
      <c r="AY24" s="79"/>
      <c r="AZ24" s="79"/>
      <c r="BA24" s="79"/>
      <c r="BB24" s="79"/>
      <c r="BC24" s="80"/>
      <c r="BD24" s="30"/>
      <c r="BE24" s="79"/>
      <c r="BF24" s="79"/>
      <c r="BG24" s="80"/>
    </row>
    <row r="25" spans="1:59" x14ac:dyDescent="0.2">
      <c r="A25" s="14" t="s">
        <v>58</v>
      </c>
      <c r="B25" s="29">
        <f t="shared" si="7"/>
        <v>1020628.8153572457</v>
      </c>
      <c r="C25" s="30"/>
      <c r="D25" s="79"/>
      <c r="E25" s="79"/>
      <c r="F25" s="80"/>
      <c r="G25" s="275"/>
      <c r="H25" s="30"/>
      <c r="I25" s="79">
        <f>SUM('[6]Page 4.3'!$I$43:$I$44)</f>
        <v>130573.7424465973</v>
      </c>
      <c r="J25" s="79"/>
      <c r="K25" s="79"/>
      <c r="L25" s="79"/>
      <c r="M25" s="80"/>
      <c r="N25" s="30"/>
      <c r="O25" s="79">
        <f>'[35]Page 4.9'!$I$12</f>
        <v>877733.72</v>
      </c>
      <c r="P25" s="79"/>
      <c r="Q25" s="79"/>
      <c r="R25" s="79"/>
      <c r="S25" s="80"/>
      <c r="T25" s="30"/>
      <c r="U25" s="79"/>
      <c r="V25" s="79"/>
      <c r="W25" s="79"/>
      <c r="X25" s="80"/>
      <c r="Y25" s="275"/>
      <c r="Z25" s="30"/>
      <c r="AA25" s="79"/>
      <c r="AB25" s="79"/>
      <c r="AC25" s="80">
        <f>SUM('[37]Page 6.5.2'!$I$39:$I$40)</f>
        <v>12321.352910648453</v>
      </c>
      <c r="AD25" s="30"/>
      <c r="AE25" s="80"/>
      <c r="AF25" s="30"/>
      <c r="AG25" s="79"/>
      <c r="AH25" s="79"/>
      <c r="AI25" s="79"/>
      <c r="AJ25" s="79"/>
      <c r="AK25" s="80"/>
      <c r="AL25" s="30"/>
      <c r="AM25" s="79"/>
      <c r="AN25" s="79"/>
      <c r="AO25" s="80"/>
      <c r="AP25" s="30"/>
      <c r="AQ25" s="80"/>
      <c r="AR25" s="30"/>
      <c r="AS25" s="79"/>
      <c r="AT25" s="79"/>
      <c r="AU25" s="79"/>
      <c r="AV25" s="79"/>
      <c r="AW25" s="80"/>
      <c r="AX25" s="30"/>
      <c r="AY25" s="79"/>
      <c r="AZ25" s="79"/>
      <c r="BA25" s="79"/>
      <c r="BB25" s="79"/>
      <c r="BC25" s="80"/>
      <c r="BD25" s="30"/>
      <c r="BE25" s="79"/>
      <c r="BF25" s="79"/>
      <c r="BG25" s="80"/>
    </row>
    <row r="26" spans="1:59" x14ac:dyDescent="0.2">
      <c r="A26" s="14" t="s">
        <v>59</v>
      </c>
      <c r="B26" s="29">
        <f t="shared" si="7"/>
        <v>27737.068649543151</v>
      </c>
      <c r="C26" s="30"/>
      <c r="D26" s="79"/>
      <c r="E26" s="79"/>
      <c r="F26" s="80"/>
      <c r="G26" s="275"/>
      <c r="H26" s="30"/>
      <c r="I26" s="79">
        <f>SUM('[6]Page 4.3'!$I$45:$I$47)</f>
        <v>25329.782329154819</v>
      </c>
      <c r="J26" s="79"/>
      <c r="K26" s="79"/>
      <c r="L26" s="79"/>
      <c r="M26" s="80"/>
      <c r="N26" s="30"/>
      <c r="O26" s="79"/>
      <c r="P26" s="79"/>
      <c r="Q26" s="79"/>
      <c r="R26" s="79"/>
      <c r="S26" s="80"/>
      <c r="T26" s="30"/>
      <c r="U26" s="79"/>
      <c r="V26" s="79"/>
      <c r="W26" s="79"/>
      <c r="X26" s="80"/>
      <c r="Y26" s="275"/>
      <c r="Z26" s="30"/>
      <c r="AA26" s="79"/>
      <c r="AB26" s="79"/>
      <c r="AC26" s="80">
        <f>SUM('[37]Page 6.5.2'!$I$41:$I$42,'[37]Page 6.5.2'!$I$52)</f>
        <v>2407.286320388333</v>
      </c>
      <c r="AD26" s="30"/>
      <c r="AE26" s="80"/>
      <c r="AF26" s="30"/>
      <c r="AG26" s="79"/>
      <c r="AH26" s="79"/>
      <c r="AI26" s="79"/>
      <c r="AJ26" s="79"/>
      <c r="AK26" s="80"/>
      <c r="AL26" s="30"/>
      <c r="AM26" s="79"/>
      <c r="AN26" s="79"/>
      <c r="AO26" s="80"/>
      <c r="AP26" s="30"/>
      <c r="AQ26" s="80"/>
      <c r="AR26" s="30"/>
      <c r="AS26" s="79"/>
      <c r="AT26" s="79"/>
      <c r="AU26" s="79"/>
      <c r="AV26" s="79"/>
      <c r="AW26" s="80"/>
      <c r="AX26" s="30"/>
      <c r="AY26" s="79"/>
      <c r="AZ26" s="79"/>
      <c r="BA26" s="79"/>
      <c r="BB26" s="79"/>
      <c r="BC26" s="80"/>
      <c r="BD26" s="30"/>
      <c r="BE26" s="79"/>
      <c r="BF26" s="79"/>
      <c r="BG26" s="80"/>
    </row>
    <row r="27" spans="1:59" x14ac:dyDescent="0.2">
      <c r="A27" s="14" t="s">
        <v>60</v>
      </c>
      <c r="B27" s="29">
        <f t="shared" si="7"/>
        <v>0</v>
      </c>
      <c r="C27" s="30"/>
      <c r="D27" s="79"/>
      <c r="E27" s="79"/>
      <c r="F27" s="80"/>
      <c r="G27" s="275"/>
      <c r="H27" s="30"/>
      <c r="I27" s="79"/>
      <c r="J27" s="79"/>
      <c r="K27" s="79"/>
      <c r="L27" s="79"/>
      <c r="M27" s="80"/>
      <c r="N27" s="30"/>
      <c r="O27" s="79"/>
      <c r="P27" s="79"/>
      <c r="Q27" s="79"/>
      <c r="R27" s="79"/>
      <c r="S27" s="80"/>
      <c r="T27" s="30"/>
      <c r="U27" s="79"/>
      <c r="V27" s="79"/>
      <c r="W27" s="79"/>
      <c r="X27" s="80"/>
      <c r="Y27" s="275"/>
      <c r="Z27" s="30"/>
      <c r="AA27" s="79"/>
      <c r="AB27" s="79"/>
      <c r="AC27" s="80"/>
      <c r="AD27" s="30"/>
      <c r="AE27" s="80"/>
      <c r="AF27" s="30"/>
      <c r="AG27" s="79"/>
      <c r="AH27" s="79"/>
      <c r="AI27" s="79"/>
      <c r="AJ27" s="79"/>
      <c r="AK27" s="80"/>
      <c r="AL27" s="30"/>
      <c r="AM27" s="79"/>
      <c r="AN27" s="79"/>
      <c r="AO27" s="80"/>
      <c r="AP27" s="30"/>
      <c r="AQ27" s="80"/>
      <c r="AR27" s="30"/>
      <c r="AS27" s="79"/>
      <c r="AT27" s="79"/>
      <c r="AU27" s="79"/>
      <c r="AV27" s="79"/>
      <c r="AW27" s="80"/>
      <c r="AX27" s="30"/>
      <c r="AY27" s="79"/>
      <c r="AZ27" s="79"/>
      <c r="BA27" s="79"/>
      <c r="BB27" s="79"/>
      <c r="BC27" s="80"/>
      <c r="BD27" s="30"/>
      <c r="BE27" s="79"/>
      <c r="BF27" s="79"/>
      <c r="BG27" s="80"/>
    </row>
    <row r="28" spans="1:59" x14ac:dyDescent="0.2">
      <c r="A28" s="14" t="s">
        <v>61</v>
      </c>
      <c r="B28" s="29">
        <f t="shared" si="7"/>
        <v>389702.259528631</v>
      </c>
      <c r="C28" s="32"/>
      <c r="D28" s="84"/>
      <c r="E28" s="84"/>
      <c r="F28" s="86"/>
      <c r="G28" s="276"/>
      <c r="H28" s="32"/>
      <c r="I28" s="84">
        <f>SUM('[6]Page 4.3'!$I$48:$I$51)</f>
        <v>149169.92246505793</v>
      </c>
      <c r="J28" s="84">
        <f>SUM('[9]Page 4.4'!$I$18:$I$19)</f>
        <v>113016.3258421895</v>
      </c>
      <c r="K28" s="84"/>
      <c r="L28" s="84"/>
      <c r="M28" s="86"/>
      <c r="N28" s="32"/>
      <c r="O28" s="84"/>
      <c r="P28" s="84"/>
      <c r="Q28" s="84"/>
      <c r="R28" s="84"/>
      <c r="S28" s="86">
        <f>SUM('[17]Page 4.13'!$I$13:$I$14)</f>
        <v>113439.8637210716</v>
      </c>
      <c r="T28" s="32"/>
      <c r="U28" s="84"/>
      <c r="V28" s="84"/>
      <c r="W28" s="84"/>
      <c r="X28" s="86"/>
      <c r="Y28" s="276"/>
      <c r="Z28" s="32"/>
      <c r="AA28" s="84"/>
      <c r="AB28" s="84"/>
      <c r="AC28" s="86">
        <f>SUM('[37]Page 6.5.2'!$I$43:$I$46)</f>
        <v>14076.147500311941</v>
      </c>
      <c r="AD28" s="32"/>
      <c r="AE28" s="86"/>
      <c r="AF28" s="32"/>
      <c r="AG28" s="84"/>
      <c r="AH28" s="84"/>
      <c r="AI28" s="84"/>
      <c r="AJ28" s="84"/>
      <c r="AK28" s="86"/>
      <c r="AL28" s="32"/>
      <c r="AM28" s="84"/>
      <c r="AN28" s="84"/>
      <c r="AO28" s="86"/>
      <c r="AP28" s="32"/>
      <c r="AQ28" s="86"/>
      <c r="AR28" s="32"/>
      <c r="AS28" s="84"/>
      <c r="AT28" s="84"/>
      <c r="AU28" s="84"/>
      <c r="AV28" s="84"/>
      <c r="AW28" s="86"/>
      <c r="AX28" s="32"/>
      <c r="AY28" s="84"/>
      <c r="AZ28" s="84"/>
      <c r="BA28" s="84"/>
      <c r="BB28" s="84"/>
      <c r="BC28" s="86"/>
      <c r="BD28" s="32"/>
      <c r="BE28" s="84"/>
      <c r="BF28" s="84"/>
      <c r="BG28" s="86"/>
    </row>
    <row r="29" spans="1:59" x14ac:dyDescent="0.2">
      <c r="A29" s="14" t="s">
        <v>62</v>
      </c>
      <c r="B29" s="270">
        <f>SUM(C29:BG29)</f>
        <v>-10524526.421858495</v>
      </c>
      <c r="C29" s="28">
        <f>SUM(C19:C28)</f>
        <v>0</v>
      </c>
      <c r="D29" s="12">
        <f t="shared" ref="D29:BG29" si="8">SUM(D19:D28)</f>
        <v>0</v>
      </c>
      <c r="E29" s="12">
        <f t="shared" si="8"/>
        <v>0</v>
      </c>
      <c r="F29" s="75">
        <f t="shared" si="8"/>
        <v>0</v>
      </c>
      <c r="G29" s="76">
        <f t="shared" si="8"/>
        <v>0</v>
      </c>
      <c r="H29" s="28">
        <f t="shared" si="8"/>
        <v>0</v>
      </c>
      <c r="I29" s="12">
        <f>SUM(I19:I28)</f>
        <v>1272028.0928324289</v>
      </c>
      <c r="J29" s="12">
        <f t="shared" si="8"/>
        <v>113016.3258421895</v>
      </c>
      <c r="K29" s="12">
        <f t="shared" si="8"/>
        <v>0</v>
      </c>
      <c r="L29" s="12">
        <f t="shared" si="8"/>
        <v>0</v>
      </c>
      <c r="M29" s="75">
        <f t="shared" si="8"/>
        <v>0</v>
      </c>
      <c r="N29" s="28">
        <f t="shared" si="8"/>
        <v>0</v>
      </c>
      <c r="O29" s="12">
        <f t="shared" si="8"/>
        <v>877733.72</v>
      </c>
      <c r="P29" s="12">
        <f t="shared" si="8"/>
        <v>0</v>
      </c>
      <c r="Q29" s="12">
        <f t="shared" si="8"/>
        <v>0</v>
      </c>
      <c r="R29" s="12">
        <f t="shared" si="8"/>
        <v>0</v>
      </c>
      <c r="S29" s="75">
        <f t="shared" si="8"/>
        <v>113439.8637210716</v>
      </c>
      <c r="T29" s="28">
        <f t="shared" si="8"/>
        <v>0</v>
      </c>
      <c r="U29" s="12">
        <f t="shared" si="8"/>
        <v>-18068961.85961505</v>
      </c>
      <c r="V29" s="12">
        <f t="shared" si="8"/>
        <v>0</v>
      </c>
      <c r="W29" s="12">
        <f t="shared" ref="W29:X29" si="9">SUM(W19:W28)</f>
        <v>160000</v>
      </c>
      <c r="X29" s="75">
        <f t="shared" si="9"/>
        <v>39055.520699857421</v>
      </c>
      <c r="Y29" s="76">
        <f t="shared" si="8"/>
        <v>0</v>
      </c>
      <c r="Z29" s="28">
        <f t="shared" si="8"/>
        <v>0</v>
      </c>
      <c r="AA29" s="12">
        <f t="shared" si="8"/>
        <v>0</v>
      </c>
      <c r="AB29" s="12">
        <f t="shared" si="8"/>
        <v>0</v>
      </c>
      <c r="AC29" s="75">
        <f t="shared" si="8"/>
        <v>157910.47932691837</v>
      </c>
      <c r="AD29" s="28">
        <f t="shared" si="8"/>
        <v>0</v>
      </c>
      <c r="AE29" s="75">
        <f t="shared" si="8"/>
        <v>0</v>
      </c>
      <c r="AF29" s="28">
        <f t="shared" si="8"/>
        <v>0</v>
      </c>
      <c r="AG29" s="12">
        <f t="shared" si="8"/>
        <v>0</v>
      </c>
      <c r="AH29" s="12">
        <f t="shared" si="8"/>
        <v>0</v>
      </c>
      <c r="AI29" s="12">
        <f t="shared" si="8"/>
        <v>0</v>
      </c>
      <c r="AJ29" s="12">
        <f t="shared" si="8"/>
        <v>0</v>
      </c>
      <c r="AK29" s="75">
        <f t="shared" si="8"/>
        <v>0</v>
      </c>
      <c r="AL29" s="28">
        <f t="shared" si="8"/>
        <v>0</v>
      </c>
      <c r="AM29" s="12">
        <f t="shared" ref="AM29:AO29" si="10">SUM(AM19:AM28)</f>
        <v>0</v>
      </c>
      <c r="AN29" s="12">
        <f t="shared" si="10"/>
        <v>0</v>
      </c>
      <c r="AO29" s="75">
        <f t="shared" si="10"/>
        <v>0</v>
      </c>
      <c r="AP29" s="28">
        <f t="shared" si="8"/>
        <v>0</v>
      </c>
      <c r="AQ29" s="75">
        <f t="shared" si="8"/>
        <v>99999.999999999985</v>
      </c>
      <c r="AR29" s="28">
        <f t="shared" si="8"/>
        <v>0</v>
      </c>
      <c r="AS29" s="12">
        <f t="shared" si="8"/>
        <v>0</v>
      </c>
      <c r="AT29" s="12">
        <f t="shared" ref="AT29" si="11">SUM(AT19:AT28)</f>
        <v>0</v>
      </c>
      <c r="AU29" s="12">
        <f t="shared" si="8"/>
        <v>0</v>
      </c>
      <c r="AV29" s="12">
        <f t="shared" si="8"/>
        <v>0</v>
      </c>
      <c r="AW29" s="75">
        <f t="shared" si="8"/>
        <v>0</v>
      </c>
      <c r="AX29" s="28">
        <f t="shared" si="8"/>
        <v>0</v>
      </c>
      <c r="AY29" s="12">
        <f t="shared" si="8"/>
        <v>0</v>
      </c>
      <c r="AZ29" s="12">
        <f t="shared" si="8"/>
        <v>0</v>
      </c>
      <c r="BA29" s="12">
        <f t="shared" si="8"/>
        <v>0</v>
      </c>
      <c r="BB29" s="12">
        <f t="shared" si="8"/>
        <v>1557310.668266339</v>
      </c>
      <c r="BC29" s="75">
        <f t="shared" ref="BC29" si="12">SUM(BC19:BC28)</f>
        <v>8498026.3756711129</v>
      </c>
      <c r="BD29" s="28">
        <f t="shared" si="8"/>
        <v>-2431918.1914151143</v>
      </c>
      <c r="BE29" s="12">
        <f t="shared" si="8"/>
        <v>-3002486.5854923334</v>
      </c>
      <c r="BF29" s="12">
        <f t="shared" si="8"/>
        <v>0</v>
      </c>
      <c r="BG29" s="75">
        <f t="shared" si="8"/>
        <v>90319.16830408643</v>
      </c>
    </row>
    <row r="30" spans="1:59" x14ac:dyDescent="0.2">
      <c r="A30" s="14" t="s">
        <v>63</v>
      </c>
      <c r="B30" s="29">
        <f t="shared" ref="B30:B38" si="13">SUM(C30:BG30)</f>
        <v>76471624.207108542</v>
      </c>
      <c r="C30" s="30"/>
      <c r="D30" s="79"/>
      <c r="E30" s="79"/>
      <c r="F30" s="80"/>
      <c r="G30" s="275"/>
      <c r="H30" s="30"/>
      <c r="I30" s="79"/>
      <c r="J30" s="79"/>
      <c r="K30" s="79"/>
      <c r="L30" s="79"/>
      <c r="M30" s="80"/>
      <c r="N30" s="30"/>
      <c r="O30" s="79"/>
      <c r="P30" s="79"/>
      <c r="Q30" s="79"/>
      <c r="R30" s="79"/>
      <c r="S30" s="80"/>
      <c r="T30" s="30"/>
      <c r="U30" s="79"/>
      <c r="V30" s="79"/>
      <c r="W30" s="79"/>
      <c r="X30" s="80"/>
      <c r="Y30" s="275">
        <f>SUM('[42]Page 6.1'!$I$11:$I$51)</f>
        <v>-553453.43854607455</v>
      </c>
      <c r="Z30" s="30"/>
      <c r="AA30" s="79"/>
      <c r="AB30" s="79">
        <f>'[43]Page 6.4'!$I$11+'[43]Page 6.4'!$I$12+'[43]Page 6.4'!$I$15+'[43]Page 6.4'!$I$16</f>
        <v>75779202.472963661</v>
      </c>
      <c r="AC30" s="80">
        <f>'[37]Page 6.5'!$K$52+'[37]Page 6.5'!$K$57+'[37]Page 6.5.5'!$I$10+'[37]Page 6.5.5'!$I$17+'[37]Page 6.5.5'!$I$18</f>
        <v>2489393.5538559048</v>
      </c>
      <c r="AD30" s="30"/>
      <c r="AE30" s="80"/>
      <c r="AF30" s="30"/>
      <c r="AG30" s="79"/>
      <c r="AH30" s="79"/>
      <c r="AI30" s="79"/>
      <c r="AJ30" s="79"/>
      <c r="AK30" s="80"/>
      <c r="AL30" s="30"/>
      <c r="AM30" s="79"/>
      <c r="AN30" s="79"/>
      <c r="AO30" s="80"/>
      <c r="AP30" s="30"/>
      <c r="AQ30" s="80"/>
      <c r="AR30" s="30"/>
      <c r="AS30" s="79"/>
      <c r="AT30" s="79"/>
      <c r="AU30" s="79">
        <f>'[44]Page 8.6'!$I$9</f>
        <v>-208716</v>
      </c>
      <c r="AV30" s="79"/>
      <c r="AW30" s="80"/>
      <c r="AX30" s="30"/>
      <c r="AY30" s="79"/>
      <c r="AZ30" s="79"/>
      <c r="BA30" s="79">
        <f>'[45]Page 8.12'!$I$13+'[45]Page 8.12'!$I$14</f>
        <v>-405882.31407772377</v>
      </c>
      <c r="BB30" s="79">
        <f>SUM('[41]Page 8.13'!$I$14:$I$15)</f>
        <v>235793.84169383661</v>
      </c>
      <c r="BC30" s="80"/>
      <c r="BD30" s="30">
        <f>'[33]Pages 9.1 - 9.1.1'!$I$33</f>
        <v>51447.741016477754</v>
      </c>
      <c r="BE30" s="79">
        <f>SUM('[38]Page 9.2'!$I$25:$I$34)</f>
        <v>-1780354.2717167686</v>
      </c>
      <c r="BF30" s="79">
        <f>'[46]Page 9.3'!$I$19</f>
        <v>151343.27845627139</v>
      </c>
      <c r="BG30" s="80">
        <f>'[36]Page 9.4'!$I$42</f>
        <v>712849.34346295381</v>
      </c>
    </row>
    <row r="31" spans="1:59" x14ac:dyDescent="0.2">
      <c r="A31" s="14" t="s">
        <v>64</v>
      </c>
      <c r="B31" s="29">
        <f t="shared" si="13"/>
        <v>2839433.8911172515</v>
      </c>
      <c r="C31" s="30"/>
      <c r="D31" s="79"/>
      <c r="E31" s="79"/>
      <c r="F31" s="80"/>
      <c r="G31" s="275"/>
      <c r="H31" s="30"/>
      <c r="I31" s="79"/>
      <c r="J31" s="79"/>
      <c r="K31" s="79"/>
      <c r="L31" s="79"/>
      <c r="M31" s="80"/>
      <c r="N31" s="30"/>
      <c r="O31" s="79"/>
      <c r="P31" s="79"/>
      <c r="Q31" s="79"/>
      <c r="R31" s="79"/>
      <c r="S31" s="80"/>
      <c r="T31" s="30"/>
      <c r="U31" s="79"/>
      <c r="V31" s="79"/>
      <c r="W31" s="79"/>
      <c r="X31" s="80">
        <f>'[40]Page 5.5'!$I$13</f>
        <v>737.58465057384717</v>
      </c>
      <c r="Y31" s="275">
        <f>SUM('[42]Page 6.1.1'!$I$10:$I$35)</f>
        <v>-1898437.4798311831</v>
      </c>
      <c r="Z31" s="30"/>
      <c r="AA31" s="79"/>
      <c r="AB31" s="79"/>
      <c r="AC31" s="80">
        <f>'[37]Page 6.5.1'!$J$35</f>
        <v>27800.429659557885</v>
      </c>
      <c r="AD31" s="30"/>
      <c r="AE31" s="80"/>
      <c r="AF31" s="30"/>
      <c r="AG31" s="79"/>
      <c r="AH31" s="79"/>
      <c r="AI31" s="79"/>
      <c r="AJ31" s="79"/>
      <c r="AK31" s="80"/>
      <c r="AL31" s="30"/>
      <c r="AM31" s="79"/>
      <c r="AN31" s="79"/>
      <c r="AO31" s="80"/>
      <c r="AP31" s="30"/>
      <c r="AQ31" s="80">
        <f>'[31]Page 8.2'!$I$21</f>
        <v>573050.93356392439</v>
      </c>
      <c r="AR31" s="30"/>
      <c r="AS31" s="79"/>
      <c r="AT31" s="79"/>
      <c r="AU31" s="79"/>
      <c r="AV31" s="79"/>
      <c r="AW31" s="80"/>
      <c r="AX31" s="30"/>
      <c r="AY31" s="79"/>
      <c r="AZ31" s="79"/>
      <c r="BA31" s="79"/>
      <c r="BB31" s="79"/>
      <c r="BC31" s="80">
        <v>4519119.2673896849</v>
      </c>
      <c r="BD31" s="30"/>
      <c r="BE31" s="79">
        <f>SUM('[38]Page 9.2'!$I$36:$I$38)</f>
        <v>-382836.84431530652</v>
      </c>
      <c r="BF31" s="79"/>
      <c r="BG31" s="80"/>
    </row>
    <row r="32" spans="1:59" x14ac:dyDescent="0.2">
      <c r="A32" s="14" t="s">
        <v>65</v>
      </c>
      <c r="B32" s="29">
        <f t="shared" si="13"/>
        <v>2319053.6036546729</v>
      </c>
      <c r="C32" s="30"/>
      <c r="D32" s="79"/>
      <c r="E32" s="79"/>
      <c r="F32" s="80"/>
      <c r="G32" s="275"/>
      <c r="H32" s="30"/>
      <c r="I32" s="79"/>
      <c r="J32" s="79"/>
      <c r="K32" s="79"/>
      <c r="L32" s="79"/>
      <c r="M32" s="80"/>
      <c r="N32" s="30"/>
      <c r="O32" s="79"/>
      <c r="P32" s="79"/>
      <c r="Q32" s="79"/>
      <c r="R32" s="79"/>
      <c r="S32" s="80"/>
      <c r="T32" s="30"/>
      <c r="U32" s="79"/>
      <c r="V32" s="79"/>
      <c r="W32" s="79"/>
      <c r="X32" s="80"/>
      <c r="Y32" s="275"/>
      <c r="Z32" s="30"/>
      <c r="AA32" s="79"/>
      <c r="AB32" s="79"/>
      <c r="AC32" s="80"/>
      <c r="AD32" s="30"/>
      <c r="AE32" s="80">
        <f>'[47]Page 7.2'!$I$9</f>
        <v>2141949</v>
      </c>
      <c r="AF32" s="30"/>
      <c r="AG32" s="79"/>
      <c r="AH32" s="79"/>
      <c r="AI32" s="79"/>
      <c r="AJ32" s="79"/>
      <c r="AK32" s="80"/>
      <c r="AL32" s="30">
        <f>'[48]Page 7.9'!$I$9</f>
        <v>-3308</v>
      </c>
      <c r="AM32" s="79">
        <f>'[49]Page 7.10'!$I$9</f>
        <v>180412.60365467297</v>
      </c>
      <c r="AN32" s="79"/>
      <c r="AO32" s="80"/>
      <c r="AP32" s="30"/>
      <c r="AQ32" s="80"/>
      <c r="AR32" s="30"/>
      <c r="AS32" s="79"/>
      <c r="AT32" s="79"/>
      <c r="AU32" s="79"/>
      <c r="AV32" s="79"/>
      <c r="AW32" s="80"/>
      <c r="AX32" s="30"/>
      <c r="AY32" s="79"/>
      <c r="AZ32" s="79"/>
      <c r="BA32" s="79"/>
      <c r="BB32" s="79"/>
      <c r="BC32" s="80"/>
      <c r="BD32" s="30"/>
      <c r="BE32" s="79"/>
      <c r="BF32" s="79"/>
      <c r="BG32" s="80"/>
    </row>
    <row r="33" spans="1:59" x14ac:dyDescent="0.2">
      <c r="A33" s="14" t="s">
        <v>66</v>
      </c>
      <c r="B33" s="29">
        <f t="shared" si="13"/>
        <v>-22880080.093322273</v>
      </c>
      <c r="C33" s="30">
        <f>C87</f>
        <v>0</v>
      </c>
      <c r="D33" s="79">
        <f t="shared" ref="D33:BB33" si="14">D87</f>
        <v>0</v>
      </c>
      <c r="E33" s="79">
        <f t="shared" si="14"/>
        <v>35262.091798565227</v>
      </c>
      <c r="F33" s="80">
        <f t="shared" si="14"/>
        <v>95888.29506480429</v>
      </c>
      <c r="G33" s="275"/>
      <c r="H33" s="30"/>
      <c r="I33" s="79">
        <f t="shared" si="14"/>
        <v>-267125.89949481003</v>
      </c>
      <c r="J33" s="79">
        <f t="shared" si="14"/>
        <v>-23733.428426859795</v>
      </c>
      <c r="K33" s="79">
        <f t="shared" si="14"/>
        <v>0</v>
      </c>
      <c r="L33" s="79">
        <f t="shared" si="14"/>
        <v>0</v>
      </c>
      <c r="M33" s="80">
        <f t="shared" si="14"/>
        <v>0</v>
      </c>
      <c r="N33" s="30">
        <f t="shared" si="14"/>
        <v>0</v>
      </c>
      <c r="O33" s="79">
        <f t="shared" si="14"/>
        <v>-274185.64353349555</v>
      </c>
      <c r="P33" s="79">
        <f t="shared" si="14"/>
        <v>0</v>
      </c>
      <c r="Q33" s="79">
        <f t="shared" si="14"/>
        <v>0</v>
      </c>
      <c r="R33" s="79">
        <f t="shared" si="14"/>
        <v>0</v>
      </c>
      <c r="S33" s="80">
        <f t="shared" si="14"/>
        <v>-23822.371381425033</v>
      </c>
      <c r="T33" s="30">
        <f t="shared" ref="T33:U33" si="15">T87</f>
        <v>0</v>
      </c>
      <c r="U33" s="79">
        <f t="shared" si="15"/>
        <v>686281.93452136894</v>
      </c>
      <c r="V33" s="79">
        <f t="shared" si="14"/>
        <v>0</v>
      </c>
      <c r="W33" s="79">
        <f t="shared" ref="W33:X33" si="16">W87</f>
        <v>-33600</v>
      </c>
      <c r="X33" s="80">
        <f t="shared" si="16"/>
        <v>-30070.563829731018</v>
      </c>
      <c r="Y33" s="275">
        <f t="shared" si="14"/>
        <v>514897.09285922413</v>
      </c>
      <c r="Z33" s="30">
        <f t="shared" si="14"/>
        <v>0</v>
      </c>
      <c r="AA33" s="79">
        <f t="shared" si="14"/>
        <v>0</v>
      </c>
      <c r="AB33" s="79">
        <f t="shared" si="14"/>
        <v>0</v>
      </c>
      <c r="AC33" s="80">
        <f t="shared" si="14"/>
        <v>902861.92337409535</v>
      </c>
      <c r="AD33" s="30">
        <f t="shared" si="14"/>
        <v>-1210512.9802904709</v>
      </c>
      <c r="AE33" s="80">
        <f t="shared" si="14"/>
        <v>-449809.29</v>
      </c>
      <c r="AF33" s="30">
        <f t="shared" si="14"/>
        <v>-14008794.664235296</v>
      </c>
      <c r="AG33" s="79">
        <f t="shared" si="14"/>
        <v>0</v>
      </c>
      <c r="AH33" s="79">
        <f t="shared" si="14"/>
        <v>-115264.60668345177</v>
      </c>
      <c r="AI33" s="79">
        <f t="shared" si="14"/>
        <v>0</v>
      </c>
      <c r="AJ33" s="79">
        <f t="shared" si="14"/>
        <v>0</v>
      </c>
      <c r="AK33" s="80">
        <f t="shared" si="14"/>
        <v>0</v>
      </c>
      <c r="AL33" s="30">
        <f t="shared" si="14"/>
        <v>694.68</v>
      </c>
      <c r="AM33" s="79">
        <f t="shared" ref="AM33:AO33" si="17">AM87</f>
        <v>-37886.646767481325</v>
      </c>
      <c r="AN33" s="79">
        <f t="shared" si="17"/>
        <v>0</v>
      </c>
      <c r="AO33" s="80">
        <f t="shared" si="17"/>
        <v>-7169232.518736993</v>
      </c>
      <c r="AP33" s="30">
        <f t="shared" si="14"/>
        <v>0</v>
      </c>
      <c r="AQ33" s="80">
        <f t="shared" si="14"/>
        <v>4677214.6554000061</v>
      </c>
      <c r="AR33" s="30">
        <f t="shared" si="14"/>
        <v>0</v>
      </c>
      <c r="AS33" s="79">
        <f t="shared" si="14"/>
        <v>-1361212.8806226542</v>
      </c>
      <c r="AT33" s="79">
        <f t="shared" ref="AT33" si="18">AT87</f>
        <v>0</v>
      </c>
      <c r="AU33" s="79">
        <f t="shared" si="14"/>
        <v>0</v>
      </c>
      <c r="AV33" s="79">
        <f t="shared" si="14"/>
        <v>0</v>
      </c>
      <c r="AW33" s="80">
        <f t="shared" si="14"/>
        <v>0</v>
      </c>
      <c r="AX33" s="30">
        <f t="shared" si="14"/>
        <v>0</v>
      </c>
      <c r="AY33" s="79">
        <f t="shared" si="14"/>
        <v>0</v>
      </c>
      <c r="AZ33" s="79">
        <f t="shared" si="14"/>
        <v>0</v>
      </c>
      <c r="BA33" s="79">
        <f t="shared" si="14"/>
        <v>-572737.37284922577</v>
      </c>
      <c r="BB33" s="79">
        <f t="shared" si="14"/>
        <v>-6192883.5842673071</v>
      </c>
      <c r="BC33" s="80">
        <f t="shared" ref="BC33" si="19">BC87</f>
        <v>0</v>
      </c>
      <c r="BD33" s="30">
        <f t="shared" ref="BD33:BG33" si="20">BD87</f>
        <v>641418.75891302247</v>
      </c>
      <c r="BE33" s="79">
        <f t="shared" si="20"/>
        <v>1370336.1022367645</v>
      </c>
      <c r="BF33" s="79">
        <f t="shared" si="20"/>
        <v>-82481.96369787147</v>
      </c>
      <c r="BG33" s="80">
        <f t="shared" si="20"/>
        <v>48418.78732695034</v>
      </c>
    </row>
    <row r="34" spans="1:59" x14ac:dyDescent="0.2">
      <c r="A34" s="14" t="s">
        <v>67</v>
      </c>
      <c r="B34" s="29">
        <f t="shared" si="13"/>
        <v>0</v>
      </c>
      <c r="C34" s="29">
        <v>0</v>
      </c>
      <c r="D34" s="77">
        <v>0</v>
      </c>
      <c r="E34" s="77">
        <v>0</v>
      </c>
      <c r="F34" s="78">
        <v>0</v>
      </c>
      <c r="G34" s="87"/>
      <c r="H34" s="29"/>
      <c r="I34" s="77">
        <v>0</v>
      </c>
      <c r="J34" s="77">
        <v>0</v>
      </c>
      <c r="K34" s="77">
        <v>0</v>
      </c>
      <c r="L34" s="77">
        <v>0</v>
      </c>
      <c r="M34" s="78">
        <v>0</v>
      </c>
      <c r="N34" s="29">
        <v>0</v>
      </c>
      <c r="O34" s="77">
        <v>0</v>
      </c>
      <c r="P34" s="77">
        <v>0</v>
      </c>
      <c r="Q34" s="77">
        <v>0</v>
      </c>
      <c r="R34" s="77">
        <v>0</v>
      </c>
      <c r="S34" s="78">
        <v>0</v>
      </c>
      <c r="T34" s="29">
        <v>0</v>
      </c>
      <c r="U34" s="77">
        <v>0</v>
      </c>
      <c r="V34" s="77">
        <v>0</v>
      </c>
      <c r="W34" s="77">
        <v>0</v>
      </c>
      <c r="X34" s="78">
        <v>0</v>
      </c>
      <c r="Y34" s="87">
        <v>0</v>
      </c>
      <c r="Z34" s="29">
        <v>0</v>
      </c>
      <c r="AA34" s="77">
        <v>0</v>
      </c>
      <c r="AB34" s="77">
        <v>0</v>
      </c>
      <c r="AC34" s="78">
        <v>0</v>
      </c>
      <c r="AD34" s="29">
        <v>0</v>
      </c>
      <c r="AE34" s="78">
        <v>0</v>
      </c>
      <c r="AF34" s="29">
        <v>0</v>
      </c>
      <c r="AG34" s="77">
        <v>0</v>
      </c>
      <c r="AH34" s="77">
        <v>0</v>
      </c>
      <c r="AI34" s="77">
        <v>0</v>
      </c>
      <c r="AJ34" s="77">
        <v>0</v>
      </c>
      <c r="AK34" s="78">
        <v>0</v>
      </c>
      <c r="AL34" s="29">
        <v>0</v>
      </c>
      <c r="AM34" s="77">
        <v>0</v>
      </c>
      <c r="AN34" s="77">
        <v>0</v>
      </c>
      <c r="AO34" s="78">
        <v>0</v>
      </c>
      <c r="AP34" s="29">
        <v>0</v>
      </c>
      <c r="AQ34" s="78">
        <v>0</v>
      </c>
      <c r="AR34" s="29">
        <v>0</v>
      </c>
      <c r="AS34" s="77">
        <v>0</v>
      </c>
      <c r="AT34" s="77">
        <v>0</v>
      </c>
      <c r="AU34" s="77">
        <v>0</v>
      </c>
      <c r="AV34" s="77">
        <v>0</v>
      </c>
      <c r="AW34" s="78">
        <v>0</v>
      </c>
      <c r="AX34" s="29">
        <v>0</v>
      </c>
      <c r="AY34" s="77">
        <v>0</v>
      </c>
      <c r="AZ34" s="77">
        <v>0</v>
      </c>
      <c r="BA34" s="77">
        <v>0</v>
      </c>
      <c r="BB34" s="77">
        <v>0</v>
      </c>
      <c r="BC34" s="78">
        <v>0</v>
      </c>
      <c r="BD34" s="29">
        <v>0</v>
      </c>
      <c r="BE34" s="77">
        <v>0</v>
      </c>
      <c r="BF34" s="77">
        <v>0</v>
      </c>
      <c r="BG34" s="78">
        <v>0</v>
      </c>
    </row>
    <row r="35" spans="1:59" x14ac:dyDescent="0.2">
      <c r="A35" s="14" t="s">
        <v>68</v>
      </c>
      <c r="B35" s="29">
        <f t="shared" si="13"/>
        <v>-7298681.5186132751</v>
      </c>
      <c r="C35" s="30"/>
      <c r="D35" s="79"/>
      <c r="E35" s="79"/>
      <c r="F35" s="80"/>
      <c r="G35" s="275"/>
      <c r="H35" s="30"/>
      <c r="I35" s="79"/>
      <c r="J35" s="79"/>
      <c r="K35" s="79"/>
      <c r="L35" s="79"/>
      <c r="M35" s="80"/>
      <c r="N35" s="30"/>
      <c r="O35" s="79"/>
      <c r="P35" s="79"/>
      <c r="Q35" s="79"/>
      <c r="R35" s="79"/>
      <c r="S35" s="80"/>
      <c r="T35" s="30"/>
      <c r="U35" s="79"/>
      <c r="V35" s="79"/>
      <c r="W35" s="79"/>
      <c r="X35" s="80">
        <f>'[40]Page 5.5'!$I$27+'[40]Page 5.5'!$I$32</f>
        <v>25422.566311240989</v>
      </c>
      <c r="Y35" s="275"/>
      <c r="Z35" s="30"/>
      <c r="AA35" s="79"/>
      <c r="AB35" s="79">
        <f>SUM('[43]Page 6.4'!$I$33:$I$36,'[43]Page 6.4'!$I$43:$I$44)</f>
        <v>-21978152.387574442</v>
      </c>
      <c r="AC35" s="80">
        <f>'[37]Page 6.5.5'!$I$27+'[37]Page 6.5.5'!$I$31+'[37]Page 6.5.5'!$I$35</f>
        <v>-1714779.4248410386</v>
      </c>
      <c r="AD35" s="30"/>
      <c r="AE35" s="80"/>
      <c r="AF35" s="30"/>
      <c r="AG35" s="79"/>
      <c r="AH35" s="79"/>
      <c r="AI35" s="79">
        <f>'[50]Page 7.6'!$H$10</f>
        <v>2152429</v>
      </c>
      <c r="AJ35" s="79"/>
      <c r="AK35" s="80"/>
      <c r="AL35" s="30"/>
      <c r="AM35" s="79"/>
      <c r="AN35" s="79"/>
      <c r="AO35" s="80">
        <f>SUM('[51]Page 7.12'!$I$10,'[51]Page 7.12'!$I$34:$I$51,'[51]Page 7.12.1'!$I$33:$I$35)</f>
        <v>10046316.923248233</v>
      </c>
      <c r="AP35" s="30"/>
      <c r="AQ35" s="80">
        <f>'[31]Page 8.2'!$I$26+'[31]Page 8.2'!$I$30+'[31]Page 8.2'!$I$34</f>
        <v>-1347243</v>
      </c>
      <c r="AR35" s="30"/>
      <c r="AS35" s="79">
        <f>SUM('[52]Page 8.4.1'!$I$40:$I$54,'[52]Page 8.4.2'!$I$40:$I$57)</f>
        <v>1593693.0263653733</v>
      </c>
      <c r="AT35" s="79"/>
      <c r="AU35" s="79"/>
      <c r="AV35" s="79"/>
      <c r="AW35" s="80"/>
      <c r="AX35" s="30"/>
      <c r="AY35" s="79"/>
      <c r="AZ35" s="79"/>
      <c r="BA35" s="79">
        <f>SUM('[45]Page 8.12'!$I$24:$I$25)</f>
        <v>771191.56151604699</v>
      </c>
      <c r="BB35" s="79">
        <f>SUM('[41]Page 8.13'!$I$29:$I$30)</f>
        <v>6812143.2726308564</v>
      </c>
      <c r="BC35" s="80">
        <v>-3200471.6391372676</v>
      </c>
      <c r="BD35" s="30">
        <f>SUM('[33]Pages 9.1 - 9.1.1'!$I$85:$I$89)</f>
        <v>-184278.39708066365</v>
      </c>
      <c r="BE35" s="79">
        <f>SUM('[38]Page 9.2.1'!$I$33:$I$35)</f>
        <v>-334312.1768930832</v>
      </c>
      <c r="BF35" s="79">
        <f>'[46]Page 9.3'!$I$46</f>
        <v>59359.156841469601</v>
      </c>
      <c r="BG35" s="80"/>
    </row>
    <row r="36" spans="1:59" x14ac:dyDescent="0.2">
      <c r="A36" s="14" t="s">
        <v>69</v>
      </c>
      <c r="B36" s="29">
        <f t="shared" si="13"/>
        <v>0</v>
      </c>
      <c r="C36" s="30"/>
      <c r="D36" s="79"/>
      <c r="E36" s="79"/>
      <c r="F36" s="80"/>
      <c r="G36" s="275"/>
      <c r="H36" s="30"/>
      <c r="I36" s="79"/>
      <c r="J36" s="79"/>
      <c r="K36" s="79"/>
      <c r="L36" s="79"/>
      <c r="M36" s="80"/>
      <c r="N36" s="30"/>
      <c r="O36" s="79"/>
      <c r="P36" s="79"/>
      <c r="Q36" s="79"/>
      <c r="R36" s="79"/>
      <c r="S36" s="80"/>
      <c r="T36" s="30"/>
      <c r="U36" s="79"/>
      <c r="V36" s="79"/>
      <c r="W36" s="79"/>
      <c r="X36" s="80"/>
      <c r="Y36" s="275"/>
      <c r="Z36" s="30"/>
      <c r="AA36" s="79"/>
      <c r="AB36" s="79"/>
      <c r="AC36" s="80"/>
      <c r="AD36" s="30"/>
      <c r="AE36" s="80"/>
      <c r="AF36" s="30"/>
      <c r="AG36" s="79"/>
      <c r="AH36" s="79"/>
      <c r="AI36" s="79"/>
      <c r="AJ36" s="79"/>
      <c r="AK36" s="80"/>
      <c r="AL36" s="30"/>
      <c r="AM36" s="79"/>
      <c r="AN36" s="79"/>
      <c r="AO36" s="80"/>
      <c r="AP36" s="30"/>
      <c r="AQ36" s="80"/>
      <c r="AR36" s="30"/>
      <c r="AS36" s="79"/>
      <c r="AT36" s="79"/>
      <c r="AU36" s="79"/>
      <c r="AV36" s="79"/>
      <c r="AW36" s="80"/>
      <c r="AX36" s="30"/>
      <c r="AY36" s="79"/>
      <c r="AZ36" s="79"/>
      <c r="BA36" s="79"/>
      <c r="BB36" s="79"/>
      <c r="BC36" s="80"/>
      <c r="BD36" s="30"/>
      <c r="BE36" s="79"/>
      <c r="BF36" s="79"/>
      <c r="BG36" s="80"/>
    </row>
    <row r="37" spans="1:59" x14ac:dyDescent="0.2">
      <c r="A37" s="14" t="s">
        <v>70</v>
      </c>
      <c r="B37" s="29">
        <f t="shared" si="13"/>
        <v>0</v>
      </c>
      <c r="C37" s="30"/>
      <c r="D37" s="79"/>
      <c r="E37" s="79"/>
      <c r="F37" s="80"/>
      <c r="G37" s="275"/>
      <c r="H37" s="30"/>
      <c r="I37" s="79"/>
      <c r="J37" s="79"/>
      <c r="K37" s="79"/>
      <c r="L37" s="79"/>
      <c r="M37" s="80"/>
      <c r="N37" s="30"/>
      <c r="O37" s="79"/>
      <c r="P37" s="79"/>
      <c r="Q37" s="79"/>
      <c r="R37" s="79"/>
      <c r="S37" s="80"/>
      <c r="T37" s="30"/>
      <c r="U37" s="79"/>
      <c r="V37" s="79"/>
      <c r="W37" s="79"/>
      <c r="X37" s="80"/>
      <c r="Y37" s="275"/>
      <c r="Z37" s="30"/>
      <c r="AA37" s="79"/>
      <c r="AB37" s="79"/>
      <c r="AC37" s="80"/>
      <c r="AD37" s="30"/>
      <c r="AE37" s="80"/>
      <c r="AF37" s="30"/>
      <c r="AG37" s="79"/>
      <c r="AH37" s="79"/>
      <c r="AI37" s="79"/>
      <c r="AJ37" s="79"/>
      <c r="AK37" s="80"/>
      <c r="AL37" s="30"/>
      <c r="AM37" s="79"/>
      <c r="AN37" s="79"/>
      <c r="AO37" s="80"/>
      <c r="AP37" s="30"/>
      <c r="AQ37" s="80"/>
      <c r="AR37" s="30"/>
      <c r="AS37" s="79"/>
      <c r="AT37" s="79"/>
      <c r="AU37" s="79"/>
      <c r="AV37" s="79"/>
      <c r="AW37" s="80"/>
      <c r="AX37" s="30"/>
      <c r="AY37" s="79"/>
      <c r="AZ37" s="79"/>
      <c r="BA37" s="79"/>
      <c r="BB37" s="79"/>
      <c r="BC37" s="80"/>
      <c r="BD37" s="30"/>
      <c r="BE37" s="79"/>
      <c r="BF37" s="79"/>
      <c r="BG37" s="80"/>
    </row>
    <row r="38" spans="1:59" x14ac:dyDescent="0.2">
      <c r="A38" s="14" t="s">
        <v>71</v>
      </c>
      <c r="B38" s="31">
        <f t="shared" si="13"/>
        <v>40926823.626687989</v>
      </c>
      <c r="C38" s="31">
        <f>SUM(C29:C37)</f>
        <v>0</v>
      </c>
      <c r="D38" s="81">
        <f t="shared" ref="D38:BB38" si="21">SUM(D29:D37)</f>
        <v>0</v>
      </c>
      <c r="E38" s="81">
        <f t="shared" si="21"/>
        <v>35262.091798565227</v>
      </c>
      <c r="F38" s="82">
        <f t="shared" si="21"/>
        <v>95888.29506480429</v>
      </c>
      <c r="G38" s="151">
        <f t="shared" si="21"/>
        <v>0</v>
      </c>
      <c r="H38" s="31">
        <f t="shared" si="21"/>
        <v>0</v>
      </c>
      <c r="I38" s="81">
        <f t="shared" si="21"/>
        <v>1004902.1933376188</v>
      </c>
      <c r="J38" s="81">
        <f t="shared" si="21"/>
        <v>89282.897415329702</v>
      </c>
      <c r="K38" s="81">
        <f t="shared" si="21"/>
        <v>0</v>
      </c>
      <c r="L38" s="81">
        <f t="shared" si="21"/>
        <v>0</v>
      </c>
      <c r="M38" s="82">
        <f t="shared" si="21"/>
        <v>0</v>
      </c>
      <c r="N38" s="31">
        <f t="shared" si="21"/>
        <v>0</v>
      </c>
      <c r="O38" s="81">
        <f t="shared" si="21"/>
        <v>603548.07646650448</v>
      </c>
      <c r="P38" s="81">
        <f t="shared" si="21"/>
        <v>0</v>
      </c>
      <c r="Q38" s="81">
        <f t="shared" si="21"/>
        <v>0</v>
      </c>
      <c r="R38" s="81">
        <f t="shared" si="21"/>
        <v>0</v>
      </c>
      <c r="S38" s="82">
        <f t="shared" si="21"/>
        <v>89617.49233964656</v>
      </c>
      <c r="T38" s="31">
        <f t="shared" ref="T38:U38" si="22">SUM(T29:T37)</f>
        <v>0</v>
      </c>
      <c r="U38" s="81">
        <f t="shared" si="22"/>
        <v>-17382679.925093681</v>
      </c>
      <c r="V38" s="81">
        <f t="shared" si="21"/>
        <v>0</v>
      </c>
      <c r="W38" s="81">
        <f t="shared" ref="W38:X38" si="23">SUM(W29:W37)</f>
        <v>126400</v>
      </c>
      <c r="X38" s="82">
        <f t="shared" si="23"/>
        <v>35145.107831941234</v>
      </c>
      <c r="Y38" s="151">
        <f t="shared" si="21"/>
        <v>-1936993.8255180337</v>
      </c>
      <c r="Z38" s="31">
        <f t="shared" si="21"/>
        <v>0</v>
      </c>
      <c r="AA38" s="81">
        <f t="shared" si="21"/>
        <v>0</v>
      </c>
      <c r="AB38" s="81">
        <f t="shared" si="21"/>
        <v>53801050.085389219</v>
      </c>
      <c r="AC38" s="82">
        <f t="shared" ref="AC38" si="24">SUM(AC29:AC37)</f>
        <v>1863186.9613754379</v>
      </c>
      <c r="AD38" s="31">
        <f t="shared" si="21"/>
        <v>-1210512.9802904709</v>
      </c>
      <c r="AE38" s="82">
        <f t="shared" si="21"/>
        <v>1692139.71</v>
      </c>
      <c r="AF38" s="31">
        <f t="shared" si="21"/>
        <v>-14008794.664235296</v>
      </c>
      <c r="AG38" s="81">
        <f t="shared" si="21"/>
        <v>0</v>
      </c>
      <c r="AH38" s="81">
        <f t="shared" si="21"/>
        <v>-115264.60668345177</v>
      </c>
      <c r="AI38" s="81">
        <f t="shared" si="21"/>
        <v>2152429</v>
      </c>
      <c r="AJ38" s="81">
        <f t="shared" si="21"/>
        <v>0</v>
      </c>
      <c r="AK38" s="82">
        <f t="shared" si="21"/>
        <v>0</v>
      </c>
      <c r="AL38" s="31">
        <f>ROUNDUP(SUM(AL29:AL37),0)</f>
        <v>-2614</v>
      </c>
      <c r="AM38" s="81">
        <f t="shared" ref="AM38:AO38" si="25">ROUNDUP(SUM(AM29:AM37),0)</f>
        <v>142526</v>
      </c>
      <c r="AN38" s="81">
        <f t="shared" si="25"/>
        <v>0</v>
      </c>
      <c r="AO38" s="82">
        <f t="shared" si="25"/>
        <v>2877085</v>
      </c>
      <c r="AP38" s="31">
        <f t="shared" si="21"/>
        <v>0</v>
      </c>
      <c r="AQ38" s="82">
        <f t="shared" si="21"/>
        <v>4003022.5889639305</v>
      </c>
      <c r="AR38" s="31">
        <f t="shared" si="21"/>
        <v>0</v>
      </c>
      <c r="AS38" s="81">
        <f t="shared" si="21"/>
        <v>232480.14574271906</v>
      </c>
      <c r="AT38" s="81">
        <f t="shared" ref="AT38" si="26">SUM(AT29:AT37)</f>
        <v>0</v>
      </c>
      <c r="AU38" s="81">
        <f t="shared" si="21"/>
        <v>-208716</v>
      </c>
      <c r="AV38" s="81">
        <f t="shared" si="21"/>
        <v>0</v>
      </c>
      <c r="AW38" s="82">
        <f t="shared" si="21"/>
        <v>0</v>
      </c>
      <c r="AX38" s="31">
        <f t="shared" si="21"/>
        <v>0</v>
      </c>
      <c r="AY38" s="81">
        <f t="shared" si="21"/>
        <v>0</v>
      </c>
      <c r="AZ38" s="81">
        <f t="shared" si="21"/>
        <v>0</v>
      </c>
      <c r="BA38" s="81">
        <f t="shared" si="21"/>
        <v>-207428.12541090255</v>
      </c>
      <c r="BB38" s="81">
        <f t="shared" si="21"/>
        <v>2412364.1983237248</v>
      </c>
      <c r="BC38" s="82">
        <f t="shared" ref="BC38" si="27">SUM(BC29:BC37)</f>
        <v>9816674.0039235298</v>
      </c>
      <c r="BD38" s="31">
        <f t="shared" ref="BD38:BG38" si="28">SUM(BD29:BD37)</f>
        <v>-1923330.0885662776</v>
      </c>
      <c r="BE38" s="81">
        <f t="shared" si="28"/>
        <v>-4129653.7761807274</v>
      </c>
      <c r="BF38" s="81">
        <f t="shared" si="28"/>
        <v>128220.47159986952</v>
      </c>
      <c r="BG38" s="82">
        <f t="shared" si="28"/>
        <v>851587.29909399059</v>
      </c>
    </row>
    <row r="39" spans="1:59" x14ac:dyDescent="0.2">
      <c r="A39" s="14"/>
      <c r="B39" s="28">
        <f t="shared" ref="B39" si="29">SUM(C39:BB39)</f>
        <v>0</v>
      </c>
      <c r="C39" s="28"/>
      <c r="D39" s="12"/>
      <c r="E39" s="12"/>
      <c r="F39" s="75"/>
      <c r="G39" s="76"/>
      <c r="H39" s="28"/>
      <c r="I39" s="12"/>
      <c r="J39" s="12"/>
      <c r="K39" s="12"/>
      <c r="L39" s="12"/>
      <c r="M39" s="75"/>
      <c r="N39" s="28"/>
      <c r="O39" s="12"/>
      <c r="P39" s="12"/>
      <c r="Q39" s="12"/>
      <c r="R39" s="12"/>
      <c r="S39" s="75"/>
      <c r="T39" s="28"/>
      <c r="U39" s="12"/>
      <c r="V39" s="12"/>
      <c r="W39" s="12"/>
      <c r="X39" s="75"/>
      <c r="Y39" s="76"/>
      <c r="Z39" s="28"/>
      <c r="AA39" s="12"/>
      <c r="AB39" s="12"/>
      <c r="AC39" s="75"/>
      <c r="AD39" s="28"/>
      <c r="AE39" s="75"/>
      <c r="AF39" s="28"/>
      <c r="AG39" s="12"/>
      <c r="AH39" s="12"/>
      <c r="AI39" s="12"/>
      <c r="AJ39" s="12"/>
      <c r="AK39" s="75"/>
      <c r="AL39" s="28"/>
      <c r="AM39" s="12"/>
      <c r="AN39" s="12"/>
      <c r="AO39" s="75"/>
      <c r="AP39" s="28"/>
      <c r="AQ39" s="75"/>
      <c r="AR39" s="28"/>
      <c r="AS39" s="12"/>
      <c r="AT39" s="12"/>
      <c r="AU39" s="12"/>
      <c r="AV39" s="12"/>
      <c r="AW39" s="75"/>
      <c r="AX39" s="28"/>
      <c r="AY39" s="12"/>
      <c r="AZ39" s="12"/>
      <c r="BA39" s="12"/>
      <c r="BB39" s="12"/>
      <c r="BC39" s="75"/>
      <c r="BD39" s="28"/>
      <c r="BE39" s="12"/>
      <c r="BF39" s="12"/>
      <c r="BG39" s="75"/>
    </row>
    <row r="40" spans="1:59" ht="13.5" thickBot="1" x14ac:dyDescent="0.25">
      <c r="A40" s="14" t="s">
        <v>72</v>
      </c>
      <c r="B40" s="33">
        <f>SUM(C40:BG40)</f>
        <v>-37106894.082101777</v>
      </c>
      <c r="C40" s="33">
        <f t="shared" ref="C40:BB40" si="30">C16-C38</f>
        <v>0</v>
      </c>
      <c r="D40" s="88">
        <f t="shared" si="30"/>
        <v>0</v>
      </c>
      <c r="E40" s="88">
        <f t="shared" si="30"/>
        <v>132652.63105174538</v>
      </c>
      <c r="F40" s="89">
        <f t="shared" si="30"/>
        <v>360722.63381521613</v>
      </c>
      <c r="G40" s="152">
        <f t="shared" si="30"/>
        <v>0</v>
      </c>
      <c r="H40" s="33">
        <f t="shared" si="30"/>
        <v>0</v>
      </c>
      <c r="I40" s="88">
        <f t="shared" si="30"/>
        <v>-1004902.1933376188</v>
      </c>
      <c r="J40" s="88">
        <f t="shared" si="30"/>
        <v>-89282.897415329702</v>
      </c>
      <c r="K40" s="88">
        <f t="shared" si="30"/>
        <v>0</v>
      </c>
      <c r="L40" s="88">
        <f t="shared" si="30"/>
        <v>0</v>
      </c>
      <c r="M40" s="89">
        <f t="shared" si="30"/>
        <v>0</v>
      </c>
      <c r="N40" s="33">
        <f t="shared" si="30"/>
        <v>0</v>
      </c>
      <c r="O40" s="88">
        <f t="shared" si="30"/>
        <v>-1031460.2780545783</v>
      </c>
      <c r="P40" s="88">
        <f t="shared" si="30"/>
        <v>0</v>
      </c>
      <c r="Q40" s="88">
        <f t="shared" si="30"/>
        <v>0</v>
      </c>
      <c r="R40" s="88">
        <f t="shared" si="30"/>
        <v>0</v>
      </c>
      <c r="S40" s="89">
        <f t="shared" si="30"/>
        <v>-89617.49233964656</v>
      </c>
      <c r="T40" s="33">
        <f t="shared" ref="T40:U40" si="31">T16-T38</f>
        <v>0</v>
      </c>
      <c r="U40" s="88">
        <f t="shared" si="31"/>
        <v>2581727.277485149</v>
      </c>
      <c r="V40" s="88">
        <f t="shared" si="30"/>
        <v>0</v>
      </c>
      <c r="W40" s="88">
        <f t="shared" ref="W40:X40" si="32">W16-W38</f>
        <v>-126400</v>
      </c>
      <c r="X40" s="89">
        <f t="shared" si="32"/>
        <v>-35145.107831941234</v>
      </c>
      <c r="Y40" s="152">
        <f t="shared" si="30"/>
        <v>1936993.8255180337</v>
      </c>
      <c r="Z40" s="33">
        <f t="shared" si="30"/>
        <v>0</v>
      </c>
      <c r="AA40" s="88">
        <f t="shared" si="30"/>
        <v>0</v>
      </c>
      <c r="AB40" s="88">
        <f t="shared" si="30"/>
        <v>-53801050.085389219</v>
      </c>
      <c r="AC40" s="89">
        <f t="shared" ref="AC40" si="33">AC16-AC38</f>
        <v>-1863186.9613754379</v>
      </c>
      <c r="AD40" s="33">
        <f t="shared" si="30"/>
        <v>1210512.9802904709</v>
      </c>
      <c r="AE40" s="89">
        <f t="shared" si="30"/>
        <v>-1692139.71</v>
      </c>
      <c r="AF40" s="33">
        <f t="shared" si="30"/>
        <v>14008794.664235296</v>
      </c>
      <c r="AG40" s="88">
        <f t="shared" si="30"/>
        <v>0</v>
      </c>
      <c r="AH40" s="88">
        <f t="shared" si="30"/>
        <v>115264.60668345177</v>
      </c>
      <c r="AI40" s="88">
        <f t="shared" si="30"/>
        <v>-2152429</v>
      </c>
      <c r="AJ40" s="88">
        <f t="shared" si="30"/>
        <v>0</v>
      </c>
      <c r="AK40" s="89">
        <f t="shared" si="30"/>
        <v>0</v>
      </c>
      <c r="AL40" s="33">
        <f t="shared" si="30"/>
        <v>2614</v>
      </c>
      <c r="AM40" s="88">
        <f t="shared" ref="AM40:AO40" si="34">AM16-AM38</f>
        <v>-142526</v>
      </c>
      <c r="AN40" s="88">
        <f t="shared" si="34"/>
        <v>0</v>
      </c>
      <c r="AO40" s="89">
        <f t="shared" si="34"/>
        <v>-2877085</v>
      </c>
      <c r="AP40" s="33">
        <f t="shared" si="30"/>
        <v>0</v>
      </c>
      <c r="AQ40" s="89">
        <f t="shared" si="30"/>
        <v>13462897.911036085</v>
      </c>
      <c r="AR40" s="33">
        <f t="shared" si="30"/>
        <v>0</v>
      </c>
      <c r="AS40" s="88">
        <f t="shared" si="30"/>
        <v>-232480.14574271906</v>
      </c>
      <c r="AT40" s="88">
        <f t="shared" ref="AT40" si="35">AT16-AT38</f>
        <v>0</v>
      </c>
      <c r="AU40" s="88">
        <f t="shared" si="30"/>
        <v>208716</v>
      </c>
      <c r="AV40" s="88">
        <f t="shared" si="30"/>
        <v>0</v>
      </c>
      <c r="AW40" s="89">
        <f t="shared" si="30"/>
        <v>0</v>
      </c>
      <c r="AX40" s="33">
        <f t="shared" si="30"/>
        <v>0</v>
      </c>
      <c r="AY40" s="88">
        <f t="shared" si="30"/>
        <v>0</v>
      </c>
      <c r="AZ40" s="88">
        <f t="shared" si="30"/>
        <v>0</v>
      </c>
      <c r="BA40" s="88">
        <f t="shared" si="30"/>
        <v>207428.12541090255</v>
      </c>
      <c r="BB40" s="88">
        <f t="shared" si="30"/>
        <v>-2412364.1983237248</v>
      </c>
      <c r="BC40" s="89">
        <f t="shared" ref="BC40" si="36">BC16-BC38</f>
        <v>-9816674.0039235298</v>
      </c>
      <c r="BD40" s="33">
        <f t="shared" ref="BD40:BG40" si="37">BD16-BD38</f>
        <v>1847944.1649138411</v>
      </c>
      <c r="BE40" s="88">
        <f t="shared" si="37"/>
        <v>4129653.7761807274</v>
      </c>
      <c r="BF40" s="88">
        <f t="shared" si="37"/>
        <v>-128220.47159986952</v>
      </c>
      <c r="BG40" s="89">
        <f t="shared" si="37"/>
        <v>182146.86661090842</v>
      </c>
    </row>
    <row r="41" spans="1:59" ht="13.5" thickTop="1" x14ac:dyDescent="0.2">
      <c r="A41" s="14"/>
      <c r="B41" s="28"/>
      <c r="C41" s="28"/>
      <c r="D41" s="12"/>
      <c r="E41" s="12"/>
      <c r="F41" s="75"/>
      <c r="G41" s="76"/>
      <c r="H41" s="28"/>
      <c r="I41" s="12"/>
      <c r="J41" s="12"/>
      <c r="K41" s="12"/>
      <c r="L41" s="12"/>
      <c r="M41" s="75"/>
      <c r="N41" s="28"/>
      <c r="O41" s="12"/>
      <c r="P41" s="12"/>
      <c r="Q41" s="12"/>
      <c r="R41" s="12"/>
      <c r="S41" s="75"/>
      <c r="T41" s="28"/>
      <c r="U41" s="12"/>
      <c r="V41" s="12"/>
      <c r="W41" s="12"/>
      <c r="X41" s="75"/>
      <c r="Y41" s="76"/>
      <c r="Z41" s="28"/>
      <c r="AA41" s="12"/>
      <c r="AB41" s="12"/>
      <c r="AC41" s="75"/>
      <c r="AD41" s="28"/>
      <c r="AE41" s="75"/>
      <c r="AF41" s="28"/>
      <c r="AG41" s="12"/>
      <c r="AH41" s="12"/>
      <c r="AI41" s="12"/>
      <c r="AJ41" s="12"/>
      <c r="AK41" s="75"/>
      <c r="AL41" s="28"/>
      <c r="AM41" s="12"/>
      <c r="AN41" s="12"/>
      <c r="AO41" s="75"/>
      <c r="AP41" s="28"/>
      <c r="AQ41" s="75"/>
      <c r="AR41" s="28"/>
      <c r="AS41" s="12"/>
      <c r="AT41" s="12"/>
      <c r="AU41" s="12"/>
      <c r="AV41" s="12"/>
      <c r="AW41" s="75"/>
      <c r="AX41" s="28"/>
      <c r="AY41" s="12"/>
      <c r="AZ41" s="12"/>
      <c r="BA41" s="12"/>
      <c r="BB41" s="12"/>
      <c r="BC41" s="75"/>
      <c r="BD41" s="28"/>
      <c r="BE41" s="12"/>
      <c r="BF41" s="12"/>
      <c r="BG41" s="75"/>
    </row>
    <row r="42" spans="1:59" x14ac:dyDescent="0.2">
      <c r="A42" s="14" t="s">
        <v>73</v>
      </c>
      <c r="B42" s="28"/>
      <c r="C42" s="28"/>
      <c r="D42" s="12"/>
      <c r="E42" s="12"/>
      <c r="F42" s="75"/>
      <c r="G42" s="76"/>
      <c r="H42" s="28"/>
      <c r="I42" s="12"/>
      <c r="J42" s="12"/>
      <c r="K42" s="12"/>
      <c r="L42" s="12"/>
      <c r="M42" s="75"/>
      <c r="N42" s="28"/>
      <c r="O42" s="12"/>
      <c r="P42" s="12"/>
      <c r="Q42" s="12"/>
      <c r="R42" s="12"/>
      <c r="S42" s="75"/>
      <c r="T42" s="28"/>
      <c r="U42" s="12"/>
      <c r="V42" s="12"/>
      <c r="W42" s="12"/>
      <c r="X42" s="75"/>
      <c r="Y42" s="76"/>
      <c r="Z42" s="28"/>
      <c r="AA42" s="12"/>
      <c r="AB42" s="12"/>
      <c r="AC42" s="75"/>
      <c r="AD42" s="28"/>
      <c r="AE42" s="75"/>
      <c r="AF42" s="28"/>
      <c r="AG42" s="12"/>
      <c r="AH42" s="12"/>
      <c r="AI42" s="12"/>
      <c r="AJ42" s="12"/>
      <c r="AK42" s="75"/>
      <c r="AL42" s="28"/>
      <c r="AM42" s="12"/>
      <c r="AN42" s="12"/>
      <c r="AO42" s="75"/>
      <c r="AP42" s="28"/>
      <c r="AQ42" s="75"/>
      <c r="AR42" s="28"/>
      <c r="AS42" s="12"/>
      <c r="AT42" s="12"/>
      <c r="AU42" s="12"/>
      <c r="AV42" s="12"/>
      <c r="AW42" s="75"/>
      <c r="AX42" s="28"/>
      <c r="AY42" s="12"/>
      <c r="AZ42" s="12"/>
      <c r="BA42" s="12"/>
      <c r="BB42" s="12"/>
      <c r="BC42" s="75"/>
      <c r="BD42" s="28"/>
      <c r="BE42" s="12"/>
      <c r="BF42" s="12"/>
      <c r="BG42" s="75"/>
    </row>
    <row r="43" spans="1:59" x14ac:dyDescent="0.2">
      <c r="A43" s="14" t="s">
        <v>74</v>
      </c>
      <c r="B43" s="29">
        <f t="shared" ref="B43:B54" si="38">SUM(C43:BG43)</f>
        <v>196443909.24116504</v>
      </c>
      <c r="C43" s="30"/>
      <c r="D43" s="79"/>
      <c r="E43" s="79"/>
      <c r="F43" s="80"/>
      <c r="G43" s="275"/>
      <c r="H43" s="30"/>
      <c r="I43" s="79"/>
      <c r="J43" s="79"/>
      <c r="K43" s="79"/>
      <c r="L43" s="79"/>
      <c r="M43" s="80"/>
      <c r="N43" s="30"/>
      <c r="O43" s="79"/>
      <c r="P43" s="79"/>
      <c r="Q43" s="79"/>
      <c r="R43" s="79"/>
      <c r="S43" s="80"/>
      <c r="T43" s="30"/>
      <c r="U43" s="79"/>
      <c r="V43" s="79"/>
      <c r="W43" s="79"/>
      <c r="X43" s="80">
        <f>'[40]Page 5.5'!$I$18</f>
        <v>312444.16559885937</v>
      </c>
      <c r="Y43" s="275"/>
      <c r="Z43" s="30"/>
      <c r="AA43" s="79"/>
      <c r="AB43" s="79"/>
      <c r="AC43" s="80"/>
      <c r="AD43" s="30"/>
      <c r="AE43" s="80"/>
      <c r="AF43" s="30"/>
      <c r="AG43" s="79"/>
      <c r="AH43" s="79"/>
      <c r="AI43" s="79"/>
      <c r="AJ43" s="79"/>
      <c r="AK43" s="80"/>
      <c r="AL43" s="30"/>
      <c r="AM43" s="79"/>
      <c r="AN43" s="79"/>
      <c r="AO43" s="80"/>
      <c r="AP43" s="30">
        <f>'[21]Page 8.1'!$I$22</f>
        <v>1702454.0464610923</v>
      </c>
      <c r="AQ43" s="80"/>
      <c r="AR43" s="30"/>
      <c r="AS43" s="79">
        <f>'[52]Page 8.4'!$J$67</f>
        <v>72054929.707660571</v>
      </c>
      <c r="AT43" s="79"/>
      <c r="AU43" s="79">
        <f>'[44]Page 8.6'!$I$17</f>
        <v>-119616.25699999859</v>
      </c>
      <c r="AV43" s="79"/>
      <c r="AW43" s="80"/>
      <c r="AX43" s="30">
        <f>'[22]Page 8.9'!$I$11</f>
        <v>-1066060.7289281213</v>
      </c>
      <c r="AY43" s="79"/>
      <c r="AZ43" s="79"/>
      <c r="BA43" s="79">
        <f>'[45]Page 8.12'!$I$9+'[45]Page 8.12'!$I$10</f>
        <v>-10956613.03877151</v>
      </c>
      <c r="BB43" s="79">
        <f>'[41]Page 8.13'!$I$9+'[41]Page 8.13'!$I$10</f>
        <v>189042406.43604827</v>
      </c>
      <c r="BC43" s="80"/>
      <c r="BD43" s="30">
        <f>'[33]Pages 9.1 - 9.1.1'!$I$15</f>
        <v>-2784664.3282427858</v>
      </c>
      <c r="BE43" s="79">
        <f>SUM('[38]Page 9.2'!$I$9:$I$18)+SUM('[38]Page 9.2'!$I$20:$I$22)</f>
        <v>-97344025.721295178</v>
      </c>
      <c r="BF43" s="79">
        <f>'[46]Page 9.3'!$I$12</f>
        <v>1528890.0839013197</v>
      </c>
      <c r="BG43" s="80">
        <f>'[36]Page 9.4'!$I$35</f>
        <v>44073764.875732519</v>
      </c>
    </row>
    <row r="44" spans="1:59" x14ac:dyDescent="0.2">
      <c r="A44" s="14" t="s">
        <v>75</v>
      </c>
      <c r="B44" s="29">
        <f t="shared" si="38"/>
        <v>0</v>
      </c>
      <c r="C44" s="30"/>
      <c r="D44" s="79"/>
      <c r="E44" s="79"/>
      <c r="F44" s="80"/>
      <c r="G44" s="275"/>
      <c r="H44" s="30"/>
      <c r="I44" s="79"/>
      <c r="J44" s="79"/>
      <c r="K44" s="79"/>
      <c r="L44" s="79"/>
      <c r="M44" s="80"/>
      <c r="N44" s="30"/>
      <c r="O44" s="79"/>
      <c r="P44" s="79"/>
      <c r="Q44" s="79"/>
      <c r="R44" s="79"/>
      <c r="S44" s="80"/>
      <c r="T44" s="30"/>
      <c r="U44" s="79"/>
      <c r="V44" s="79"/>
      <c r="W44" s="79"/>
      <c r="X44" s="80"/>
      <c r="Y44" s="275"/>
      <c r="Z44" s="30"/>
      <c r="AA44" s="79"/>
      <c r="AB44" s="79"/>
      <c r="AC44" s="80"/>
      <c r="AD44" s="30"/>
      <c r="AE44" s="80"/>
      <c r="AF44" s="30"/>
      <c r="AG44" s="79"/>
      <c r="AH44" s="79"/>
      <c r="AI44" s="79"/>
      <c r="AJ44" s="79"/>
      <c r="AK44" s="80"/>
      <c r="AL44" s="30"/>
      <c r="AM44" s="79"/>
      <c r="AN44" s="79"/>
      <c r="AO44" s="80"/>
      <c r="AP44" s="30"/>
      <c r="AQ44" s="80"/>
      <c r="AR44" s="30"/>
      <c r="AS44" s="79"/>
      <c r="AT44" s="79"/>
      <c r="AU44" s="79"/>
      <c r="AV44" s="79"/>
      <c r="AW44" s="80"/>
      <c r="AX44" s="30"/>
      <c r="AY44" s="79"/>
      <c r="AZ44" s="79"/>
      <c r="BA44" s="79"/>
      <c r="BB44" s="79"/>
      <c r="BC44" s="80"/>
      <c r="BD44" s="30"/>
      <c r="BE44" s="79"/>
      <c r="BF44" s="79"/>
      <c r="BG44" s="80"/>
    </row>
    <row r="45" spans="1:59" x14ac:dyDescent="0.2">
      <c r="A45" s="14" t="s">
        <v>76</v>
      </c>
      <c r="B45" s="29">
        <f t="shared" si="38"/>
        <v>155438.60167140973</v>
      </c>
      <c r="C45" s="30"/>
      <c r="D45" s="79"/>
      <c r="E45" s="79"/>
      <c r="F45" s="80"/>
      <c r="G45" s="275"/>
      <c r="H45" s="30"/>
      <c r="I45" s="79"/>
      <c r="J45" s="79"/>
      <c r="K45" s="79"/>
      <c r="L45" s="79"/>
      <c r="M45" s="80"/>
      <c r="N45" s="30"/>
      <c r="O45" s="79"/>
      <c r="P45" s="79"/>
      <c r="Q45" s="79"/>
      <c r="R45" s="79"/>
      <c r="S45" s="80"/>
      <c r="T45" s="30"/>
      <c r="U45" s="79"/>
      <c r="V45" s="79"/>
      <c r="W45" s="79"/>
      <c r="X45" s="80"/>
      <c r="Y45" s="275"/>
      <c r="Z45" s="30"/>
      <c r="AA45" s="79"/>
      <c r="AB45" s="79"/>
      <c r="AC45" s="80"/>
      <c r="AD45" s="30"/>
      <c r="AE45" s="80"/>
      <c r="AF45" s="30"/>
      <c r="AG45" s="79"/>
      <c r="AH45" s="79"/>
      <c r="AI45" s="79"/>
      <c r="AJ45" s="79"/>
      <c r="AK45" s="80"/>
      <c r="AL45" s="30"/>
      <c r="AM45" s="79"/>
      <c r="AN45" s="79"/>
      <c r="AO45" s="80"/>
      <c r="AP45" s="30">
        <f>'[21]Page 8.1'!$I$23</f>
        <v>14008.415838076389</v>
      </c>
      <c r="AQ45" s="80">
        <f>'[31]Page 8.2'!$I$11+'[31]Page 8.2'!$I$12</f>
        <v>141430.18583333335</v>
      </c>
      <c r="AR45" s="30"/>
      <c r="AS45" s="79"/>
      <c r="AT45" s="79"/>
      <c r="AU45" s="79"/>
      <c r="AV45" s="79"/>
      <c r="AW45" s="80"/>
      <c r="AX45" s="30"/>
      <c r="AY45" s="79"/>
      <c r="AZ45" s="79"/>
      <c r="BA45" s="79"/>
      <c r="BB45" s="79"/>
      <c r="BC45" s="80"/>
      <c r="BD45" s="30"/>
      <c r="BE45" s="79"/>
      <c r="BF45" s="79"/>
      <c r="BG45" s="80"/>
    </row>
    <row r="46" spans="1:59" x14ac:dyDescent="0.2">
      <c r="A46" s="14" t="s">
        <v>77</v>
      </c>
      <c r="B46" s="29">
        <f t="shared" si="38"/>
        <v>0</v>
      </c>
      <c r="C46" s="30"/>
      <c r="D46" s="79"/>
      <c r="E46" s="79"/>
      <c r="F46" s="80"/>
      <c r="G46" s="275"/>
      <c r="H46" s="30"/>
      <c r="I46" s="79"/>
      <c r="J46" s="79"/>
      <c r="K46" s="79"/>
      <c r="L46" s="79"/>
      <c r="M46" s="80"/>
      <c r="N46" s="30"/>
      <c r="O46" s="79"/>
      <c r="P46" s="79"/>
      <c r="Q46" s="79"/>
      <c r="R46" s="79"/>
      <c r="S46" s="80"/>
      <c r="T46" s="30"/>
      <c r="U46" s="79"/>
      <c r="V46" s="79"/>
      <c r="W46" s="79"/>
      <c r="X46" s="80"/>
      <c r="Y46" s="275"/>
      <c r="Z46" s="30"/>
      <c r="AA46" s="79"/>
      <c r="AB46" s="79"/>
      <c r="AC46" s="80"/>
      <c r="AD46" s="30"/>
      <c r="AE46" s="80"/>
      <c r="AF46" s="30"/>
      <c r="AG46" s="79"/>
      <c r="AH46" s="79"/>
      <c r="AI46" s="79"/>
      <c r="AJ46" s="79"/>
      <c r="AK46" s="80"/>
      <c r="AL46" s="30"/>
      <c r="AM46" s="79"/>
      <c r="AN46" s="79"/>
      <c r="AO46" s="80"/>
      <c r="AP46" s="30"/>
      <c r="AQ46" s="80"/>
      <c r="AR46" s="30"/>
      <c r="AS46" s="79"/>
      <c r="AT46" s="79"/>
      <c r="AU46" s="79"/>
      <c r="AV46" s="79"/>
      <c r="AW46" s="80"/>
      <c r="AX46" s="30"/>
      <c r="AY46" s="79"/>
      <c r="AZ46" s="79"/>
      <c r="BA46" s="79"/>
      <c r="BB46" s="79"/>
      <c r="BC46" s="80"/>
      <c r="BD46" s="30"/>
      <c r="BE46" s="79"/>
      <c r="BF46" s="79"/>
      <c r="BG46" s="80"/>
    </row>
    <row r="47" spans="1:59" x14ac:dyDescent="0.2">
      <c r="A47" s="14" t="s">
        <v>78</v>
      </c>
      <c r="B47" s="29">
        <f t="shared" si="38"/>
        <v>0</v>
      </c>
      <c r="C47" s="30"/>
      <c r="D47" s="79"/>
      <c r="E47" s="79"/>
      <c r="F47" s="80"/>
      <c r="G47" s="275"/>
      <c r="H47" s="30"/>
      <c r="I47" s="79"/>
      <c r="J47" s="79"/>
      <c r="K47" s="79"/>
      <c r="L47" s="79"/>
      <c r="M47" s="80"/>
      <c r="N47" s="30"/>
      <c r="O47" s="79"/>
      <c r="P47" s="79"/>
      <c r="Q47" s="79"/>
      <c r="R47" s="79"/>
      <c r="S47" s="80"/>
      <c r="T47" s="30"/>
      <c r="U47" s="79"/>
      <c r="V47" s="79"/>
      <c r="W47" s="79"/>
      <c r="X47" s="80"/>
      <c r="Y47" s="275"/>
      <c r="Z47" s="30"/>
      <c r="AA47" s="79"/>
      <c r="AB47" s="79"/>
      <c r="AC47" s="80"/>
      <c r="AD47" s="30"/>
      <c r="AE47" s="80"/>
      <c r="AF47" s="30"/>
      <c r="AG47" s="79"/>
      <c r="AH47" s="79"/>
      <c r="AI47" s="79"/>
      <c r="AJ47" s="79"/>
      <c r="AK47" s="80"/>
      <c r="AL47" s="30"/>
      <c r="AM47" s="79"/>
      <c r="AN47" s="79"/>
      <c r="AO47" s="80"/>
      <c r="AP47" s="30"/>
      <c r="AQ47" s="80"/>
      <c r="AR47" s="30"/>
      <c r="AS47" s="79"/>
      <c r="AT47" s="79"/>
      <c r="AU47" s="79"/>
      <c r="AV47" s="79"/>
      <c r="AW47" s="80"/>
      <c r="AX47" s="30"/>
      <c r="AY47" s="79"/>
      <c r="AZ47" s="79"/>
      <c r="BA47" s="79"/>
      <c r="BB47" s="79"/>
      <c r="BC47" s="80"/>
      <c r="BD47" s="30"/>
      <c r="BE47" s="79"/>
      <c r="BF47" s="79"/>
      <c r="BG47" s="80"/>
    </row>
    <row r="48" spans="1:59" x14ac:dyDescent="0.2">
      <c r="A48" s="14" t="s">
        <v>79</v>
      </c>
      <c r="B48" s="29">
        <f t="shared" si="38"/>
        <v>0</v>
      </c>
      <c r="C48" s="30"/>
      <c r="D48" s="79"/>
      <c r="E48" s="79"/>
      <c r="F48" s="80"/>
      <c r="G48" s="275"/>
      <c r="H48" s="30"/>
      <c r="I48" s="79"/>
      <c r="J48" s="79"/>
      <c r="K48" s="79"/>
      <c r="L48" s="79"/>
      <c r="M48" s="80"/>
      <c r="N48" s="30"/>
      <c r="O48" s="79"/>
      <c r="P48" s="79"/>
      <c r="Q48" s="79"/>
      <c r="R48" s="79"/>
      <c r="S48" s="80"/>
      <c r="T48" s="30"/>
      <c r="U48" s="79"/>
      <c r="V48" s="79"/>
      <c r="W48" s="79"/>
      <c r="X48" s="80"/>
      <c r="Y48" s="275"/>
      <c r="Z48" s="30"/>
      <c r="AA48" s="79"/>
      <c r="AB48" s="79"/>
      <c r="AC48" s="80"/>
      <c r="AD48" s="30"/>
      <c r="AE48" s="80"/>
      <c r="AF48" s="30"/>
      <c r="AG48" s="79"/>
      <c r="AH48" s="79"/>
      <c r="AI48" s="79"/>
      <c r="AJ48" s="79"/>
      <c r="AK48" s="80"/>
      <c r="AL48" s="30"/>
      <c r="AM48" s="79"/>
      <c r="AN48" s="79"/>
      <c r="AO48" s="80"/>
      <c r="AP48" s="30"/>
      <c r="AQ48" s="80"/>
      <c r="AR48" s="30"/>
      <c r="AS48" s="79"/>
      <c r="AT48" s="79"/>
      <c r="AU48" s="79"/>
      <c r="AV48" s="79"/>
      <c r="AW48" s="80"/>
      <c r="AX48" s="30"/>
      <c r="AY48" s="79"/>
      <c r="AZ48" s="79"/>
      <c r="BA48" s="79"/>
      <c r="BB48" s="79"/>
      <c r="BC48" s="80"/>
      <c r="BD48" s="30"/>
      <c r="BE48" s="79"/>
      <c r="BF48" s="79"/>
      <c r="BG48" s="80"/>
    </row>
    <row r="49" spans="1:59" x14ac:dyDescent="0.2">
      <c r="A49" s="14" t="s">
        <v>80</v>
      </c>
      <c r="B49" s="29">
        <f t="shared" si="38"/>
        <v>0</v>
      </c>
      <c r="C49" s="30"/>
      <c r="D49" s="79"/>
      <c r="E49" s="79"/>
      <c r="F49" s="80"/>
      <c r="G49" s="275"/>
      <c r="H49" s="30"/>
      <c r="I49" s="79"/>
      <c r="J49" s="79"/>
      <c r="K49" s="79"/>
      <c r="L49" s="79"/>
      <c r="M49" s="80"/>
      <c r="N49" s="30"/>
      <c r="O49" s="79"/>
      <c r="P49" s="79"/>
      <c r="Q49" s="79"/>
      <c r="R49" s="79"/>
      <c r="S49" s="80"/>
      <c r="T49" s="30"/>
      <c r="U49" s="79"/>
      <c r="V49" s="79"/>
      <c r="W49" s="79"/>
      <c r="X49" s="80"/>
      <c r="Y49" s="275"/>
      <c r="Z49" s="30"/>
      <c r="AA49" s="79"/>
      <c r="AB49" s="79"/>
      <c r="AC49" s="80"/>
      <c r="AD49" s="30"/>
      <c r="AE49" s="80"/>
      <c r="AF49" s="30"/>
      <c r="AG49" s="79"/>
      <c r="AH49" s="79"/>
      <c r="AI49" s="79"/>
      <c r="AJ49" s="79"/>
      <c r="AK49" s="80"/>
      <c r="AL49" s="30"/>
      <c r="AM49" s="79"/>
      <c r="AN49" s="79"/>
      <c r="AO49" s="80"/>
      <c r="AP49" s="30"/>
      <c r="AQ49" s="80"/>
      <c r="AR49" s="30"/>
      <c r="AS49" s="79"/>
      <c r="AT49" s="79"/>
      <c r="AU49" s="79"/>
      <c r="AV49" s="79"/>
      <c r="AW49" s="80"/>
      <c r="AX49" s="30"/>
      <c r="AY49" s="79"/>
      <c r="AZ49" s="79"/>
      <c r="BA49" s="79"/>
      <c r="BB49" s="79"/>
      <c r="BC49" s="80"/>
      <c r="BD49" s="30"/>
      <c r="BE49" s="79"/>
      <c r="BF49" s="79"/>
      <c r="BG49" s="80"/>
    </row>
    <row r="50" spans="1:59" x14ac:dyDescent="0.2">
      <c r="A50" s="14" t="s">
        <v>81</v>
      </c>
      <c r="B50" s="29">
        <f t="shared" si="38"/>
        <v>0</v>
      </c>
      <c r="C50" s="30"/>
      <c r="D50" s="79"/>
      <c r="E50" s="79"/>
      <c r="F50" s="80"/>
      <c r="G50" s="275"/>
      <c r="H50" s="30"/>
      <c r="I50" s="79"/>
      <c r="J50" s="79"/>
      <c r="K50" s="79"/>
      <c r="L50" s="79"/>
      <c r="M50" s="80"/>
      <c r="N50" s="30"/>
      <c r="O50" s="79"/>
      <c r="P50" s="79"/>
      <c r="Q50" s="79"/>
      <c r="R50" s="79"/>
      <c r="S50" s="80"/>
      <c r="T50" s="30"/>
      <c r="U50" s="79"/>
      <c r="V50" s="79"/>
      <c r="W50" s="79"/>
      <c r="X50" s="80"/>
      <c r="Y50" s="275"/>
      <c r="Z50" s="30"/>
      <c r="AA50" s="79"/>
      <c r="AB50" s="79"/>
      <c r="AC50" s="80"/>
      <c r="AD50" s="30"/>
      <c r="AE50" s="80"/>
      <c r="AF50" s="30"/>
      <c r="AG50" s="79"/>
      <c r="AH50" s="79"/>
      <c r="AI50" s="79"/>
      <c r="AJ50" s="79"/>
      <c r="AK50" s="80"/>
      <c r="AL50" s="30"/>
      <c r="AM50" s="79"/>
      <c r="AN50" s="79"/>
      <c r="AO50" s="80"/>
      <c r="AP50" s="30"/>
      <c r="AQ50" s="80"/>
      <c r="AR50" s="30"/>
      <c r="AS50" s="79"/>
      <c r="AT50" s="79"/>
      <c r="AU50" s="79"/>
      <c r="AV50" s="79"/>
      <c r="AW50" s="80"/>
      <c r="AX50" s="30"/>
      <c r="AY50" s="79"/>
      <c r="AZ50" s="79"/>
      <c r="BA50" s="79"/>
      <c r="BB50" s="79"/>
      <c r="BC50" s="80"/>
      <c r="BD50" s="30"/>
      <c r="BE50" s="79"/>
      <c r="BF50" s="79"/>
      <c r="BG50" s="80"/>
    </row>
    <row r="51" spans="1:59" x14ac:dyDescent="0.2">
      <c r="A51" s="14" t="s">
        <v>82</v>
      </c>
      <c r="B51" s="29">
        <f t="shared" si="38"/>
        <v>0</v>
      </c>
      <c r="C51" s="30"/>
      <c r="D51" s="79"/>
      <c r="E51" s="79"/>
      <c r="F51" s="80"/>
      <c r="G51" s="275"/>
      <c r="H51" s="30"/>
      <c r="I51" s="79"/>
      <c r="J51" s="79"/>
      <c r="K51" s="79"/>
      <c r="L51" s="79"/>
      <c r="M51" s="80"/>
      <c r="N51" s="30"/>
      <c r="O51" s="79"/>
      <c r="P51" s="79"/>
      <c r="Q51" s="79"/>
      <c r="R51" s="79"/>
      <c r="S51" s="80"/>
      <c r="T51" s="30"/>
      <c r="U51" s="79"/>
      <c r="V51" s="79"/>
      <c r="W51" s="79"/>
      <c r="X51" s="80"/>
      <c r="Y51" s="275"/>
      <c r="Z51" s="30"/>
      <c r="AA51" s="79"/>
      <c r="AB51" s="79"/>
      <c r="AC51" s="80"/>
      <c r="AD51" s="30"/>
      <c r="AE51" s="80"/>
      <c r="AF51" s="30"/>
      <c r="AG51" s="79"/>
      <c r="AH51" s="79"/>
      <c r="AI51" s="79"/>
      <c r="AJ51" s="79"/>
      <c r="AK51" s="80"/>
      <c r="AL51" s="30"/>
      <c r="AM51" s="79"/>
      <c r="AN51" s="79"/>
      <c r="AO51" s="80"/>
      <c r="AP51" s="30"/>
      <c r="AQ51" s="80"/>
      <c r="AR51" s="30"/>
      <c r="AS51" s="79"/>
      <c r="AT51" s="79"/>
      <c r="AU51" s="79"/>
      <c r="AV51" s="79"/>
      <c r="AW51" s="80"/>
      <c r="AX51" s="30"/>
      <c r="AY51" s="79"/>
      <c r="AZ51" s="79"/>
      <c r="BA51" s="79"/>
      <c r="BB51" s="79"/>
      <c r="BC51" s="80"/>
      <c r="BD51" s="30"/>
      <c r="BE51" s="79"/>
      <c r="BF51" s="79"/>
      <c r="BG51" s="80"/>
    </row>
    <row r="52" spans="1:59" x14ac:dyDescent="0.2">
      <c r="A52" s="14" t="s">
        <v>83</v>
      </c>
      <c r="B52" s="29">
        <f t="shared" si="38"/>
        <v>0</v>
      </c>
      <c r="C52" s="30"/>
      <c r="D52" s="79"/>
      <c r="E52" s="79"/>
      <c r="F52" s="80"/>
      <c r="G52" s="275"/>
      <c r="H52" s="30"/>
      <c r="I52" s="79"/>
      <c r="J52" s="79"/>
      <c r="K52" s="79"/>
      <c r="L52" s="79"/>
      <c r="M52" s="80"/>
      <c r="N52" s="30"/>
      <c r="O52" s="79"/>
      <c r="P52" s="79"/>
      <c r="Q52" s="79"/>
      <c r="R52" s="79"/>
      <c r="S52" s="80"/>
      <c r="T52" s="30"/>
      <c r="U52" s="79"/>
      <c r="V52" s="79"/>
      <c r="W52" s="79"/>
      <c r="X52" s="80"/>
      <c r="Y52" s="275"/>
      <c r="Z52" s="30"/>
      <c r="AA52" s="79"/>
      <c r="AB52" s="79"/>
      <c r="AC52" s="80"/>
      <c r="AD52" s="30"/>
      <c r="AE52" s="80"/>
      <c r="AF52" s="30"/>
      <c r="AG52" s="79"/>
      <c r="AH52" s="79"/>
      <c r="AI52" s="79"/>
      <c r="AJ52" s="79"/>
      <c r="AK52" s="80"/>
      <c r="AL52" s="30"/>
      <c r="AM52" s="79"/>
      <c r="AN52" s="79"/>
      <c r="AO52" s="80"/>
      <c r="AP52" s="30"/>
      <c r="AQ52" s="80"/>
      <c r="AR52" s="30"/>
      <c r="AS52" s="79"/>
      <c r="AT52" s="79"/>
      <c r="AU52" s="79"/>
      <c r="AV52" s="79"/>
      <c r="AW52" s="80"/>
      <c r="AX52" s="30"/>
      <c r="AY52" s="79"/>
      <c r="AZ52" s="79"/>
      <c r="BA52" s="79"/>
      <c r="BB52" s="79"/>
      <c r="BC52" s="80"/>
      <c r="BD52" s="30"/>
      <c r="BE52" s="79"/>
      <c r="BF52" s="79"/>
      <c r="BG52" s="80"/>
    </row>
    <row r="53" spans="1:59" x14ac:dyDescent="0.2">
      <c r="A53" s="14" t="s">
        <v>84</v>
      </c>
      <c r="B53" s="29">
        <f t="shared" si="38"/>
        <v>0</v>
      </c>
      <c r="C53" s="30"/>
      <c r="D53" s="79"/>
      <c r="E53" s="79"/>
      <c r="F53" s="80"/>
      <c r="G53" s="275"/>
      <c r="H53" s="30"/>
      <c r="I53" s="79"/>
      <c r="J53" s="79"/>
      <c r="K53" s="79"/>
      <c r="L53" s="79"/>
      <c r="M53" s="80"/>
      <c r="N53" s="30"/>
      <c r="O53" s="79"/>
      <c r="P53" s="79"/>
      <c r="Q53" s="79"/>
      <c r="R53" s="79"/>
      <c r="S53" s="80"/>
      <c r="T53" s="30"/>
      <c r="U53" s="79"/>
      <c r="V53" s="79"/>
      <c r="W53" s="79"/>
      <c r="X53" s="80"/>
      <c r="Y53" s="275"/>
      <c r="Z53" s="30"/>
      <c r="AA53" s="79"/>
      <c r="AB53" s="79"/>
      <c r="AC53" s="80"/>
      <c r="AD53" s="30"/>
      <c r="AE53" s="80"/>
      <c r="AF53" s="30"/>
      <c r="AG53" s="79"/>
      <c r="AH53" s="79"/>
      <c r="AI53" s="79"/>
      <c r="AJ53" s="79"/>
      <c r="AK53" s="80"/>
      <c r="AL53" s="30"/>
      <c r="AM53" s="79"/>
      <c r="AN53" s="79"/>
      <c r="AO53" s="80"/>
      <c r="AP53" s="30"/>
      <c r="AQ53" s="80"/>
      <c r="AR53" s="30"/>
      <c r="AS53" s="79"/>
      <c r="AT53" s="79"/>
      <c r="AU53" s="79"/>
      <c r="AV53" s="79"/>
      <c r="AW53" s="80"/>
      <c r="AX53" s="30"/>
      <c r="AY53" s="79"/>
      <c r="AZ53" s="79"/>
      <c r="BA53" s="79"/>
      <c r="BB53" s="79"/>
      <c r="BC53" s="80"/>
      <c r="BD53" s="30"/>
      <c r="BE53" s="79"/>
      <c r="BF53" s="79"/>
      <c r="BG53" s="80"/>
    </row>
    <row r="54" spans="1:59" x14ac:dyDescent="0.2">
      <c r="A54" s="14" t="s">
        <v>85</v>
      </c>
      <c r="B54" s="34">
        <f t="shared" si="38"/>
        <v>196599347.84283644</v>
      </c>
      <c r="C54" s="34">
        <f>SUM(C43:C53)</f>
        <v>0</v>
      </c>
      <c r="D54" s="90">
        <f t="shared" ref="D54:BA54" si="39">SUM(D43:D53)</f>
        <v>0</v>
      </c>
      <c r="E54" s="90">
        <f t="shared" si="39"/>
        <v>0</v>
      </c>
      <c r="F54" s="91">
        <f t="shared" si="39"/>
        <v>0</v>
      </c>
      <c r="G54" s="153">
        <f t="shared" si="39"/>
        <v>0</v>
      </c>
      <c r="H54" s="34">
        <f t="shared" si="39"/>
        <v>0</v>
      </c>
      <c r="I54" s="90">
        <f t="shared" si="39"/>
        <v>0</v>
      </c>
      <c r="J54" s="90">
        <f t="shared" si="39"/>
        <v>0</v>
      </c>
      <c r="K54" s="90">
        <f t="shared" si="39"/>
        <v>0</v>
      </c>
      <c r="L54" s="90">
        <f t="shared" si="39"/>
        <v>0</v>
      </c>
      <c r="M54" s="91">
        <f t="shared" si="39"/>
        <v>0</v>
      </c>
      <c r="N54" s="34">
        <f t="shared" si="39"/>
        <v>0</v>
      </c>
      <c r="O54" s="90">
        <f t="shared" si="39"/>
        <v>0</v>
      </c>
      <c r="P54" s="90">
        <f t="shared" si="39"/>
        <v>0</v>
      </c>
      <c r="Q54" s="90">
        <f t="shared" si="39"/>
        <v>0</v>
      </c>
      <c r="R54" s="90">
        <f t="shared" si="39"/>
        <v>0</v>
      </c>
      <c r="S54" s="91">
        <f t="shared" si="39"/>
        <v>0</v>
      </c>
      <c r="T54" s="34">
        <f t="shared" si="39"/>
        <v>0</v>
      </c>
      <c r="U54" s="90">
        <f t="shared" si="39"/>
        <v>0</v>
      </c>
      <c r="V54" s="90">
        <f t="shared" si="39"/>
        <v>0</v>
      </c>
      <c r="W54" s="90">
        <f t="shared" ref="W54:X54" si="40">SUM(W43:W53)</f>
        <v>0</v>
      </c>
      <c r="X54" s="91">
        <f t="shared" si="40"/>
        <v>312444.16559885937</v>
      </c>
      <c r="Y54" s="153">
        <f t="shared" si="39"/>
        <v>0</v>
      </c>
      <c r="Z54" s="34">
        <f t="shared" si="39"/>
        <v>0</v>
      </c>
      <c r="AA54" s="90">
        <f t="shared" si="39"/>
        <v>0</v>
      </c>
      <c r="AB54" s="90">
        <f t="shared" si="39"/>
        <v>0</v>
      </c>
      <c r="AC54" s="91">
        <f t="shared" si="39"/>
        <v>0</v>
      </c>
      <c r="AD54" s="34">
        <f t="shared" si="39"/>
        <v>0</v>
      </c>
      <c r="AE54" s="91">
        <f t="shared" si="39"/>
        <v>0</v>
      </c>
      <c r="AF54" s="34">
        <f t="shared" si="39"/>
        <v>0</v>
      </c>
      <c r="AG54" s="90">
        <f t="shared" si="39"/>
        <v>0</v>
      </c>
      <c r="AH54" s="90">
        <f t="shared" si="39"/>
        <v>0</v>
      </c>
      <c r="AI54" s="90">
        <f t="shared" si="39"/>
        <v>0</v>
      </c>
      <c r="AJ54" s="90">
        <f t="shared" si="39"/>
        <v>0</v>
      </c>
      <c r="AK54" s="91">
        <f t="shared" si="39"/>
        <v>0</v>
      </c>
      <c r="AL54" s="34">
        <f t="shared" si="39"/>
        <v>0</v>
      </c>
      <c r="AM54" s="90">
        <f t="shared" ref="AM54:AO54" si="41">SUM(AM43:AM53)</f>
        <v>0</v>
      </c>
      <c r="AN54" s="90">
        <f t="shared" si="41"/>
        <v>0</v>
      </c>
      <c r="AO54" s="91">
        <f t="shared" si="41"/>
        <v>0</v>
      </c>
      <c r="AP54" s="34">
        <f t="shared" si="39"/>
        <v>1716462.4622991688</v>
      </c>
      <c r="AQ54" s="91">
        <f t="shared" si="39"/>
        <v>141430.18583333335</v>
      </c>
      <c r="AR54" s="34">
        <f t="shared" si="39"/>
        <v>0</v>
      </c>
      <c r="AS54" s="90">
        <f t="shared" si="39"/>
        <v>72054929.707660571</v>
      </c>
      <c r="AT54" s="90">
        <f t="shared" ref="AT54" si="42">SUM(AT43:AT53)</f>
        <v>0</v>
      </c>
      <c r="AU54" s="90">
        <f t="shared" si="39"/>
        <v>-119616.25699999859</v>
      </c>
      <c r="AV54" s="90">
        <f t="shared" si="39"/>
        <v>0</v>
      </c>
      <c r="AW54" s="91">
        <f t="shared" si="39"/>
        <v>0</v>
      </c>
      <c r="AX54" s="34">
        <f t="shared" si="39"/>
        <v>-1066060.7289281213</v>
      </c>
      <c r="AY54" s="90">
        <f t="shared" si="39"/>
        <v>0</v>
      </c>
      <c r="AZ54" s="90">
        <f t="shared" si="39"/>
        <v>0</v>
      </c>
      <c r="BA54" s="90">
        <f t="shared" si="39"/>
        <v>-10956613.03877151</v>
      </c>
      <c r="BB54" s="90">
        <f>SUM(BB43:BB53)</f>
        <v>189042406.43604827</v>
      </c>
      <c r="BC54" s="91">
        <f>SUM(BC43:BC53)</f>
        <v>0</v>
      </c>
      <c r="BD54" s="34">
        <f t="shared" ref="BD54:BG54" si="43">SUM(BD43:BD53)</f>
        <v>-2784664.3282427858</v>
      </c>
      <c r="BE54" s="90">
        <f t="shared" si="43"/>
        <v>-97344025.721295178</v>
      </c>
      <c r="BF54" s="90">
        <f t="shared" si="43"/>
        <v>1528890.0839013197</v>
      </c>
      <c r="BG54" s="91">
        <f t="shared" si="43"/>
        <v>44073764.875732519</v>
      </c>
    </row>
    <row r="55" spans="1:59" x14ac:dyDescent="0.2">
      <c r="A55" s="14"/>
      <c r="B55" s="28"/>
      <c r="C55" s="28"/>
      <c r="D55" s="12"/>
      <c r="E55" s="12"/>
      <c r="F55" s="75"/>
      <c r="G55" s="76"/>
      <c r="H55" s="28"/>
      <c r="I55" s="12"/>
      <c r="J55" s="12"/>
      <c r="K55" s="12"/>
      <c r="L55" s="12"/>
      <c r="M55" s="75"/>
      <c r="N55" s="28"/>
      <c r="O55" s="12"/>
      <c r="P55" s="12"/>
      <c r="Q55" s="12"/>
      <c r="R55" s="12"/>
      <c r="S55" s="75"/>
      <c r="T55" s="28"/>
      <c r="U55" s="12"/>
      <c r="V55" s="12"/>
      <c r="W55" s="12"/>
      <c r="X55" s="75"/>
      <c r="Y55" s="76"/>
      <c r="Z55" s="28"/>
      <c r="AA55" s="12"/>
      <c r="AB55" s="12"/>
      <c r="AC55" s="75"/>
      <c r="AD55" s="28"/>
      <c r="AE55" s="75"/>
      <c r="AF55" s="28"/>
      <c r="AG55" s="12"/>
      <c r="AH55" s="12"/>
      <c r="AI55" s="12"/>
      <c r="AJ55" s="12"/>
      <c r="AK55" s="75"/>
      <c r="AL55" s="28"/>
      <c r="AM55" s="12"/>
      <c r="AN55" s="12"/>
      <c r="AO55" s="75"/>
      <c r="AP55" s="28"/>
      <c r="AQ55" s="75"/>
      <c r="AR55" s="28"/>
      <c r="AS55" s="12"/>
      <c r="AT55" s="12"/>
      <c r="AU55" s="12"/>
      <c r="AV55" s="12"/>
      <c r="AW55" s="75"/>
      <c r="AX55" s="28"/>
      <c r="AY55" s="12"/>
      <c r="AZ55" s="12"/>
      <c r="BA55" s="12"/>
      <c r="BB55" s="12"/>
      <c r="BC55" s="75"/>
      <c r="BD55" s="28"/>
      <c r="BE55" s="12"/>
      <c r="BF55" s="12"/>
      <c r="BG55" s="75"/>
    </row>
    <row r="56" spans="1:59" x14ac:dyDescent="0.2">
      <c r="A56" s="14" t="s">
        <v>86</v>
      </c>
      <c r="B56" s="28"/>
      <c r="C56" s="28"/>
      <c r="D56" s="12"/>
      <c r="E56" s="12"/>
      <c r="F56" s="75"/>
      <c r="G56" s="76"/>
      <c r="H56" s="28"/>
      <c r="I56" s="12"/>
      <c r="J56" s="12"/>
      <c r="K56" s="12"/>
      <c r="L56" s="12"/>
      <c r="M56" s="75"/>
      <c r="N56" s="28"/>
      <c r="O56" s="12"/>
      <c r="P56" s="12"/>
      <c r="Q56" s="12"/>
      <c r="R56" s="12"/>
      <c r="S56" s="75"/>
      <c r="T56" s="28"/>
      <c r="U56" s="12"/>
      <c r="V56" s="12"/>
      <c r="W56" s="12"/>
      <c r="X56" s="75"/>
      <c r="Y56" s="76"/>
      <c r="Z56" s="28"/>
      <c r="AA56" s="12"/>
      <c r="AB56" s="12"/>
      <c r="AC56" s="75"/>
      <c r="AD56" s="28"/>
      <c r="AE56" s="75"/>
      <c r="AF56" s="28"/>
      <c r="AG56" s="12"/>
      <c r="AH56" s="12"/>
      <c r="AI56" s="12"/>
      <c r="AJ56" s="12"/>
      <c r="AK56" s="75"/>
      <c r="AL56" s="28"/>
      <c r="AM56" s="12"/>
      <c r="AN56" s="12"/>
      <c r="AO56" s="75"/>
      <c r="AP56" s="28"/>
      <c r="AQ56" s="75"/>
      <c r="AR56" s="28"/>
      <c r="AS56" s="12"/>
      <c r="AT56" s="12"/>
      <c r="AU56" s="12"/>
      <c r="AV56" s="12"/>
      <c r="AW56" s="75"/>
      <c r="AX56" s="28"/>
      <c r="AY56" s="12"/>
      <c r="AZ56" s="12"/>
      <c r="BA56" s="12"/>
      <c r="BB56" s="12"/>
      <c r="BC56" s="75"/>
      <c r="BD56" s="28"/>
      <c r="BE56" s="12"/>
      <c r="BF56" s="12"/>
      <c r="BG56" s="75"/>
    </row>
    <row r="57" spans="1:59" x14ac:dyDescent="0.2">
      <c r="A57" s="14" t="s">
        <v>87</v>
      </c>
      <c r="B57" s="29">
        <f t="shared" ref="B57:B67" si="44">SUM(C57:BG57)</f>
        <v>33082154.383554198</v>
      </c>
      <c r="C57" s="30"/>
      <c r="D57" s="79"/>
      <c r="E57" s="79"/>
      <c r="F57" s="80"/>
      <c r="G57" s="275"/>
      <c r="H57" s="30"/>
      <c r="I57" s="79"/>
      <c r="J57" s="79"/>
      <c r="K57" s="79"/>
      <c r="L57" s="79"/>
      <c r="M57" s="80"/>
      <c r="N57" s="30"/>
      <c r="O57" s="79"/>
      <c r="P57" s="79"/>
      <c r="Q57" s="79"/>
      <c r="R57" s="79"/>
      <c r="S57" s="80"/>
      <c r="T57" s="30"/>
      <c r="U57" s="79"/>
      <c r="V57" s="79"/>
      <c r="W57" s="79"/>
      <c r="X57" s="80"/>
      <c r="Y57" s="275"/>
      <c r="Z57" s="30">
        <f>SUM('[53]Page 6.2'!$I$11:$I$52)</f>
        <v>-51891710.883360811</v>
      </c>
      <c r="AA57" s="79"/>
      <c r="AB57" s="79">
        <f>'[43]Page 6.4'!$I$21+'[43]Page 6.4'!$I$22+'[43]Page 6.4'!$I$25+'[43]Page 6.4'!$I$26</f>
        <v>-32255874.709358472</v>
      </c>
      <c r="AC57" s="80">
        <f>'[37]Page 6.5.3'!$K$53+'[37]Page 6.5.3'!$K$58+'[37]Page 6.5.5'!$I$13+'[37]Page 6.5.5'!$I$21+'[37]Page 6.5.5'!$I$22</f>
        <v>-1313849.1473851958</v>
      </c>
      <c r="AD57" s="30"/>
      <c r="AE57" s="80"/>
      <c r="AF57" s="30"/>
      <c r="AG57" s="79"/>
      <c r="AH57" s="79"/>
      <c r="AI57" s="79"/>
      <c r="AJ57" s="79"/>
      <c r="AK57" s="80"/>
      <c r="AL57" s="30"/>
      <c r="AM57" s="79"/>
      <c r="AN57" s="79"/>
      <c r="AO57" s="80"/>
      <c r="AP57" s="30">
        <f>'[21]Page 8.1'!$I$24</f>
        <v>-6094252.5511277551</v>
      </c>
      <c r="AQ57" s="80"/>
      <c r="AR57" s="30"/>
      <c r="AS57" s="79"/>
      <c r="AT57" s="79"/>
      <c r="AU57" s="79"/>
      <c r="AV57" s="79"/>
      <c r="AW57" s="80"/>
      <c r="AX57" s="30">
        <f>'[22]Page 8.9'!$I$12</f>
        <v>2065030.5913463011</v>
      </c>
      <c r="AY57" s="79"/>
      <c r="AZ57" s="79"/>
      <c r="BA57" s="79">
        <f>'[45]Page 8.12'!$I$17+'[45]Page 8.12'!$I$18</f>
        <v>98064728.905458614</v>
      </c>
      <c r="BB57" s="79">
        <f>SUM('[41]Page 8.13'!$I$19:$I$20)</f>
        <v>-236426.68759947666</v>
      </c>
      <c r="BC57" s="80"/>
      <c r="BD57" s="30">
        <f>'[33]Pages 9.1 - 9.1.1'!$I$24</f>
        <v>-1644071.308749404</v>
      </c>
      <c r="BE57" s="79">
        <f>SUM('[38]Page 9.2'!$I$41:$I$50)</f>
        <v>31076468.458723873</v>
      </c>
      <c r="BF57" s="79">
        <f>'[46]Page 9.3'!$I$26</f>
        <v>-58067.818726323545</v>
      </c>
      <c r="BG57" s="80">
        <f>'[36]Page 9.4'!$I$49</f>
        <v>-4629820.4656671509</v>
      </c>
    </row>
    <row r="58" spans="1:59" x14ac:dyDescent="0.2">
      <c r="A58" s="14" t="s">
        <v>88</v>
      </c>
      <c r="B58" s="29">
        <f t="shared" si="44"/>
        <v>2103615.8250537398</v>
      </c>
      <c r="C58" s="30"/>
      <c r="D58" s="79"/>
      <c r="E58" s="79"/>
      <c r="F58" s="80"/>
      <c r="G58" s="275"/>
      <c r="H58" s="30"/>
      <c r="I58" s="79"/>
      <c r="J58" s="79"/>
      <c r="K58" s="79"/>
      <c r="L58" s="79"/>
      <c r="M58" s="80"/>
      <c r="N58" s="30"/>
      <c r="O58" s="79"/>
      <c r="P58" s="79"/>
      <c r="Q58" s="79"/>
      <c r="R58" s="79"/>
      <c r="S58" s="80"/>
      <c r="T58" s="30"/>
      <c r="U58" s="79"/>
      <c r="V58" s="79"/>
      <c r="W58" s="79"/>
      <c r="X58" s="80">
        <f>'[40]Page 5.5'!$I$19+'[40]Page 5.5'!$I$22</f>
        <v>-399.52501906083393</v>
      </c>
      <c r="Y58" s="275"/>
      <c r="Z58" s="30">
        <f>SUM('[53]Page 6.2.1'!$I$10:$I$36)</f>
        <v>-3245560.5775700584</v>
      </c>
      <c r="AA58" s="79"/>
      <c r="AB58" s="79"/>
      <c r="AC58" s="80">
        <f>'[37]Page 6.5.4'!$J$36</f>
        <v>-13900.214829778943</v>
      </c>
      <c r="AD58" s="30"/>
      <c r="AE58" s="80"/>
      <c r="AF58" s="30"/>
      <c r="AG58" s="79"/>
      <c r="AH58" s="79"/>
      <c r="AI58" s="79"/>
      <c r="AJ58" s="79"/>
      <c r="AK58" s="80"/>
      <c r="AL58" s="30"/>
      <c r="AM58" s="79"/>
      <c r="AN58" s="79"/>
      <c r="AO58" s="80"/>
      <c r="AP58" s="30"/>
      <c r="AQ58" s="80"/>
      <c r="AR58" s="30"/>
      <c r="AS58" s="79"/>
      <c r="AT58" s="79"/>
      <c r="AU58" s="79"/>
      <c r="AV58" s="79"/>
      <c r="AW58" s="80"/>
      <c r="AX58" s="30"/>
      <c r="AY58" s="79"/>
      <c r="AZ58" s="79"/>
      <c r="BA58" s="79"/>
      <c r="BB58" s="79"/>
      <c r="BC58" s="80"/>
      <c r="BD58" s="30"/>
      <c r="BE58" s="79">
        <f>SUM('[38]Page 9.2'!$I$52:$I$54)</f>
        <v>5363476.1424726378</v>
      </c>
      <c r="BF58" s="79"/>
      <c r="BG58" s="80"/>
    </row>
    <row r="59" spans="1:59" x14ac:dyDescent="0.2">
      <c r="A59" s="14" t="s">
        <v>89</v>
      </c>
      <c r="B59" s="29">
        <f t="shared" si="44"/>
        <v>38202167.239522725</v>
      </c>
      <c r="C59" s="30"/>
      <c r="D59" s="79"/>
      <c r="E59" s="79"/>
      <c r="F59" s="80"/>
      <c r="G59" s="275"/>
      <c r="H59" s="30"/>
      <c r="I59" s="79"/>
      <c r="J59" s="79"/>
      <c r="K59" s="79"/>
      <c r="L59" s="79"/>
      <c r="M59" s="80"/>
      <c r="N59" s="30"/>
      <c r="O59" s="79"/>
      <c r="P59" s="79"/>
      <c r="Q59" s="79"/>
      <c r="R59" s="79"/>
      <c r="S59" s="80"/>
      <c r="T59" s="30"/>
      <c r="U59" s="79"/>
      <c r="V59" s="79"/>
      <c r="W59" s="79"/>
      <c r="X59" s="80">
        <f>'[40]Page 5.5'!$I$28+'[40]Page 5.5'!$I$33</f>
        <v>-25509.425789277473</v>
      </c>
      <c r="Y59" s="275"/>
      <c r="Z59" s="30"/>
      <c r="AA59" s="79"/>
      <c r="AB59" s="79">
        <f>'[43]Page 6.4'!$I$37+'[43]Page 6.4'!$I$38+'[43]Page 6.4'!$I$45+'[43]Page 6.4'!$I$46</f>
        <v>9315764.8195591494</v>
      </c>
      <c r="AC59" s="80">
        <f>'[37]Page 6.5.5'!$I$28+'[37]Page 6.5.5'!$I$32+'[37]Page 6.5.5'!$I$36</f>
        <v>857389.75147603999</v>
      </c>
      <c r="AD59" s="30"/>
      <c r="AE59" s="80"/>
      <c r="AF59" s="30"/>
      <c r="AG59" s="79">
        <f>'[28]Page 7.4'!$I$10</f>
        <v>8675778.4500000477</v>
      </c>
      <c r="AH59" s="79"/>
      <c r="AI59" s="79">
        <f>SUM('[50]Page 7.6'!$H$12:$H$15)</f>
        <v>25563147</v>
      </c>
      <c r="AJ59" s="79"/>
      <c r="AK59" s="80"/>
      <c r="AL59" s="30"/>
      <c r="AM59" s="79"/>
      <c r="AN59" s="79"/>
      <c r="AO59" s="80">
        <f>SUM('[51]Page 7.12'!$I$11,'[51]Page 7.12.1'!$I$10:$I$27)</f>
        <v>-344082.29787929845</v>
      </c>
      <c r="AP59" s="30"/>
      <c r="AQ59" s="80">
        <f>'[31]Page 8.2'!$I$27+'[31]Page 8.2'!$I$31+'[31]Page 8.2'!$I$35</f>
        <v>4142205</v>
      </c>
      <c r="AR59" s="30"/>
      <c r="AS59" s="79">
        <f>SUM('[52]Page 8.4.3'!$I$9:$I$27,'[52]Page 8.4.2'!$I$9:$I$18,'[52]Page 8.4.1'!$I$55:$I$58)</f>
        <v>-1215586.3930333483</v>
      </c>
      <c r="AT59" s="79"/>
      <c r="AU59" s="79"/>
      <c r="AV59" s="79"/>
      <c r="AW59" s="80"/>
      <c r="AX59" s="30">
        <f>'[22]Page 8.9'!$I$16</f>
        <v>97197.601109559298</v>
      </c>
      <c r="AY59" s="79"/>
      <c r="AZ59" s="79"/>
      <c r="BA59" s="79">
        <f>'[45]Page 8.12'!$I$26</f>
        <v>-744140.61432474619</v>
      </c>
      <c r="BB59" s="79">
        <f>'[41]Page 8.13'!$I$31</f>
        <v>-6399081.0807086639</v>
      </c>
      <c r="BC59" s="80">
        <v>1600235.8195686338</v>
      </c>
      <c r="BD59" s="30">
        <f>SUM('[33]Pages 9.1 - 9.1.1'!$I$90:$I$94)</f>
        <v>166784.9929243559</v>
      </c>
      <c r="BE59" s="79">
        <f>SUM('[38]Page 9.2.1'!$I$37:$I$43)</f>
        <v>4469517.0185047751</v>
      </c>
      <c r="BF59" s="79">
        <f>'[46]Page 9.3'!$I$52</f>
        <v>-42956.068551157121</v>
      </c>
      <c r="BG59" s="80">
        <f>'[36]Page 9.4'!$I$52</f>
        <v>-7914497.333333333</v>
      </c>
    </row>
    <row r="60" spans="1:59" x14ac:dyDescent="0.2">
      <c r="A60" s="14" t="s">
        <v>90</v>
      </c>
      <c r="B60" s="29">
        <f t="shared" si="44"/>
        <v>0</v>
      </c>
      <c r="C60" s="30"/>
      <c r="D60" s="79"/>
      <c r="E60" s="79"/>
      <c r="F60" s="80"/>
      <c r="G60" s="275"/>
      <c r="H60" s="30"/>
      <c r="I60" s="79"/>
      <c r="J60" s="79"/>
      <c r="K60" s="79"/>
      <c r="L60" s="79"/>
      <c r="M60" s="80"/>
      <c r="N60" s="30"/>
      <c r="O60" s="79"/>
      <c r="P60" s="79"/>
      <c r="Q60" s="79"/>
      <c r="R60" s="79"/>
      <c r="S60" s="80"/>
      <c r="T60" s="30"/>
      <c r="U60" s="79"/>
      <c r="V60" s="79"/>
      <c r="W60" s="79"/>
      <c r="X60" s="80"/>
      <c r="Y60" s="275"/>
      <c r="Z60" s="30"/>
      <c r="AA60" s="79"/>
      <c r="AB60" s="79"/>
      <c r="AC60" s="80"/>
      <c r="AD60" s="30"/>
      <c r="AE60" s="80"/>
      <c r="AF60" s="30"/>
      <c r="AG60" s="79"/>
      <c r="AH60" s="79"/>
      <c r="AI60" s="79"/>
      <c r="AJ60" s="79"/>
      <c r="AK60" s="80"/>
      <c r="AL60" s="30"/>
      <c r="AM60" s="79"/>
      <c r="AN60" s="79"/>
      <c r="AO60" s="80"/>
      <c r="AP60" s="30"/>
      <c r="AQ60" s="80"/>
      <c r="AR60" s="30"/>
      <c r="AS60" s="79"/>
      <c r="AT60" s="79"/>
      <c r="AU60" s="79"/>
      <c r="AV60" s="79"/>
      <c r="AW60" s="80"/>
      <c r="AX60" s="30"/>
      <c r="AY60" s="79"/>
      <c r="AZ60" s="79"/>
      <c r="BA60" s="79"/>
      <c r="BB60" s="79"/>
      <c r="BC60" s="80"/>
      <c r="BD60" s="30"/>
      <c r="BE60" s="79"/>
      <c r="BF60" s="79"/>
      <c r="BG60" s="80"/>
    </row>
    <row r="61" spans="1:59" x14ac:dyDescent="0.2">
      <c r="A61" s="14" t="s">
        <v>91</v>
      </c>
      <c r="B61" s="29">
        <f t="shared" si="44"/>
        <v>0</v>
      </c>
      <c r="C61" s="30"/>
      <c r="D61" s="79"/>
      <c r="E61" s="79"/>
      <c r="F61" s="80"/>
      <c r="G61" s="275"/>
      <c r="H61" s="30"/>
      <c r="I61" s="79"/>
      <c r="J61" s="79"/>
      <c r="K61" s="79"/>
      <c r="L61" s="79"/>
      <c r="M61" s="80"/>
      <c r="N61" s="30"/>
      <c r="O61" s="79"/>
      <c r="P61" s="79"/>
      <c r="Q61" s="79"/>
      <c r="R61" s="79"/>
      <c r="S61" s="80"/>
      <c r="T61" s="30"/>
      <c r="U61" s="79"/>
      <c r="V61" s="79"/>
      <c r="W61" s="79"/>
      <c r="X61" s="80"/>
      <c r="Y61" s="275"/>
      <c r="Z61" s="30"/>
      <c r="AA61" s="79"/>
      <c r="AB61" s="79"/>
      <c r="AC61" s="80"/>
      <c r="AD61" s="30"/>
      <c r="AE61" s="80"/>
      <c r="AF61" s="30"/>
      <c r="AG61" s="79"/>
      <c r="AH61" s="79"/>
      <c r="AI61" s="79"/>
      <c r="AJ61" s="79"/>
      <c r="AK61" s="80"/>
      <c r="AL61" s="30"/>
      <c r="AM61" s="79"/>
      <c r="AN61" s="79"/>
      <c r="AO61" s="80"/>
      <c r="AP61" s="30"/>
      <c r="AQ61" s="80"/>
      <c r="AR61" s="30"/>
      <c r="AS61" s="79"/>
      <c r="AT61" s="79"/>
      <c r="AU61" s="79"/>
      <c r="AV61" s="79"/>
      <c r="AW61" s="80"/>
      <c r="AX61" s="30"/>
      <c r="AY61" s="79"/>
      <c r="AZ61" s="79"/>
      <c r="BA61" s="79"/>
      <c r="BB61" s="79"/>
      <c r="BC61" s="80"/>
      <c r="BD61" s="30"/>
      <c r="BE61" s="79"/>
      <c r="BF61" s="79"/>
      <c r="BG61" s="80"/>
    </row>
    <row r="62" spans="1:59" x14ac:dyDescent="0.2">
      <c r="A62" s="14" t="s">
        <v>92</v>
      </c>
      <c r="B62" s="29">
        <f t="shared" si="44"/>
        <v>0</v>
      </c>
      <c r="C62" s="30"/>
      <c r="D62" s="79"/>
      <c r="E62" s="79"/>
      <c r="F62" s="80"/>
      <c r="G62" s="275"/>
      <c r="H62" s="30"/>
      <c r="I62" s="79"/>
      <c r="J62" s="79"/>
      <c r="K62" s="79"/>
      <c r="L62" s="79"/>
      <c r="M62" s="80"/>
      <c r="N62" s="30"/>
      <c r="O62" s="79"/>
      <c r="P62" s="79"/>
      <c r="Q62" s="79"/>
      <c r="R62" s="79"/>
      <c r="S62" s="80"/>
      <c r="T62" s="30"/>
      <c r="U62" s="79"/>
      <c r="V62" s="79"/>
      <c r="W62" s="79"/>
      <c r="X62" s="80"/>
      <c r="Y62" s="275"/>
      <c r="Z62" s="30"/>
      <c r="AA62" s="79"/>
      <c r="AB62" s="79"/>
      <c r="AC62" s="80"/>
      <c r="AD62" s="30"/>
      <c r="AE62" s="80"/>
      <c r="AF62" s="30"/>
      <c r="AG62" s="79"/>
      <c r="AH62" s="79"/>
      <c r="AI62" s="79"/>
      <c r="AJ62" s="79"/>
      <c r="AK62" s="80"/>
      <c r="AL62" s="30"/>
      <c r="AM62" s="79"/>
      <c r="AN62" s="79"/>
      <c r="AO62" s="80"/>
      <c r="AP62" s="30"/>
      <c r="AQ62" s="80"/>
      <c r="AR62" s="30"/>
      <c r="AS62" s="79"/>
      <c r="AT62" s="79"/>
      <c r="AU62" s="79"/>
      <c r="AV62" s="79"/>
      <c r="AW62" s="80"/>
      <c r="AX62" s="30"/>
      <c r="AY62" s="79"/>
      <c r="AZ62" s="79"/>
      <c r="BA62" s="79"/>
      <c r="BB62" s="79"/>
      <c r="BC62" s="80"/>
      <c r="BD62" s="30"/>
      <c r="BE62" s="79"/>
      <c r="BF62" s="79"/>
      <c r="BG62" s="80"/>
    </row>
    <row r="63" spans="1:59" x14ac:dyDescent="0.2">
      <c r="A63" s="14" t="s">
        <v>93</v>
      </c>
      <c r="B63" s="29">
        <f t="shared" si="44"/>
        <v>-23019462.641530417</v>
      </c>
      <c r="C63" s="30"/>
      <c r="D63" s="79"/>
      <c r="E63" s="79"/>
      <c r="F63" s="80"/>
      <c r="G63" s="275"/>
      <c r="H63" s="30"/>
      <c r="I63" s="79"/>
      <c r="J63" s="79"/>
      <c r="K63" s="79"/>
      <c r="L63" s="79"/>
      <c r="M63" s="80"/>
      <c r="N63" s="30"/>
      <c r="O63" s="79"/>
      <c r="P63" s="79"/>
      <c r="Q63" s="79"/>
      <c r="R63" s="79"/>
      <c r="S63" s="80"/>
      <c r="T63" s="30"/>
      <c r="U63" s="79"/>
      <c r="V63" s="79"/>
      <c r="W63" s="79"/>
      <c r="X63" s="80"/>
      <c r="Y63" s="275"/>
      <c r="Z63" s="30"/>
      <c r="AA63" s="79"/>
      <c r="AB63" s="79"/>
      <c r="AC63" s="80"/>
      <c r="AD63" s="30"/>
      <c r="AE63" s="80"/>
      <c r="AF63" s="30"/>
      <c r="AG63" s="79"/>
      <c r="AH63" s="79"/>
      <c r="AI63" s="79"/>
      <c r="AJ63" s="79"/>
      <c r="AK63" s="80"/>
      <c r="AL63" s="30"/>
      <c r="AM63" s="79"/>
      <c r="AN63" s="79"/>
      <c r="AO63" s="80"/>
      <c r="AP63" s="30"/>
      <c r="AQ63" s="80">
        <f>'[31]Page 8.2'!$I$10</f>
        <v>-16510889.820000019</v>
      </c>
      <c r="AR63" s="30"/>
      <c r="AS63" s="79"/>
      <c r="AT63" s="79"/>
      <c r="AU63" s="79"/>
      <c r="AV63" s="79"/>
      <c r="AW63" s="80"/>
      <c r="AX63" s="30"/>
      <c r="AY63" s="79"/>
      <c r="AZ63" s="79"/>
      <c r="BA63" s="79"/>
      <c r="BB63" s="79"/>
      <c r="BC63" s="80">
        <v>-6508572.821530398</v>
      </c>
      <c r="BD63" s="30"/>
      <c r="BE63" s="79"/>
      <c r="BF63" s="79"/>
      <c r="BG63" s="80"/>
    </row>
    <row r="64" spans="1:59" x14ac:dyDescent="0.2">
      <c r="A64" s="14"/>
      <c r="B64" s="28">
        <f t="shared" si="44"/>
        <v>0</v>
      </c>
      <c r="C64" s="28"/>
      <c r="D64" s="12"/>
      <c r="E64" s="12"/>
      <c r="F64" s="75"/>
      <c r="G64" s="76"/>
      <c r="H64" s="28"/>
      <c r="I64" s="12"/>
      <c r="J64" s="12"/>
      <c r="K64" s="12"/>
      <c r="L64" s="12"/>
      <c r="M64" s="75"/>
      <c r="N64" s="28"/>
      <c r="O64" s="12"/>
      <c r="P64" s="12"/>
      <c r="Q64" s="12"/>
      <c r="R64" s="12"/>
      <c r="S64" s="75"/>
      <c r="T64" s="28"/>
      <c r="U64" s="12"/>
      <c r="V64" s="12"/>
      <c r="W64" s="12"/>
      <c r="X64" s="75"/>
      <c r="Y64" s="76"/>
      <c r="Z64" s="28"/>
      <c r="AA64" s="12"/>
      <c r="AB64" s="12"/>
      <c r="AC64" s="75"/>
      <c r="AD64" s="28"/>
      <c r="AE64" s="75"/>
      <c r="AF64" s="28"/>
      <c r="AG64" s="12"/>
      <c r="AH64" s="12"/>
      <c r="AI64" s="12"/>
      <c r="AJ64" s="12"/>
      <c r="AK64" s="75"/>
      <c r="AL64" s="28"/>
      <c r="AM64" s="12"/>
      <c r="AN64" s="12"/>
      <c r="AO64" s="75"/>
      <c r="AP64" s="28"/>
      <c r="AQ64" s="75"/>
      <c r="AR64" s="28"/>
      <c r="AS64" s="12"/>
      <c r="AT64" s="12"/>
      <c r="AU64" s="12"/>
      <c r="AV64" s="12"/>
      <c r="AW64" s="75"/>
      <c r="AX64" s="28"/>
      <c r="AY64" s="12"/>
      <c r="AZ64" s="12"/>
      <c r="BA64" s="12"/>
      <c r="BB64" s="12"/>
      <c r="BC64" s="75"/>
      <c r="BD64" s="28"/>
      <c r="BE64" s="12"/>
      <c r="BF64" s="12"/>
      <c r="BG64" s="75"/>
    </row>
    <row r="65" spans="1:59" x14ac:dyDescent="0.2">
      <c r="A65" s="14" t="s">
        <v>94</v>
      </c>
      <c r="B65" s="31">
        <f t="shared" si="44"/>
        <v>50368474.806600258</v>
      </c>
      <c r="C65" s="31">
        <f t="shared" ref="C65:BA65" si="45">SUM(C57:C64)</f>
        <v>0</v>
      </c>
      <c r="D65" s="81">
        <f t="shared" si="45"/>
        <v>0</v>
      </c>
      <c r="E65" s="81">
        <f t="shared" si="45"/>
        <v>0</v>
      </c>
      <c r="F65" s="82">
        <f t="shared" si="45"/>
        <v>0</v>
      </c>
      <c r="G65" s="151">
        <f t="shared" si="45"/>
        <v>0</v>
      </c>
      <c r="H65" s="31">
        <f t="shared" si="45"/>
        <v>0</v>
      </c>
      <c r="I65" s="81">
        <f t="shared" si="45"/>
        <v>0</v>
      </c>
      <c r="J65" s="81">
        <f t="shared" si="45"/>
        <v>0</v>
      </c>
      <c r="K65" s="81">
        <f t="shared" si="45"/>
        <v>0</v>
      </c>
      <c r="L65" s="81">
        <f t="shared" si="45"/>
        <v>0</v>
      </c>
      <c r="M65" s="82">
        <f t="shared" si="45"/>
        <v>0</v>
      </c>
      <c r="N65" s="31">
        <f t="shared" si="45"/>
        <v>0</v>
      </c>
      <c r="O65" s="81">
        <f t="shared" si="45"/>
        <v>0</v>
      </c>
      <c r="P65" s="81">
        <f t="shared" si="45"/>
        <v>0</v>
      </c>
      <c r="Q65" s="81">
        <f t="shared" si="45"/>
        <v>0</v>
      </c>
      <c r="R65" s="81">
        <f t="shared" si="45"/>
        <v>0</v>
      </c>
      <c r="S65" s="82">
        <f t="shared" si="45"/>
        <v>0</v>
      </c>
      <c r="T65" s="31">
        <f t="shared" ref="T65:U65" si="46">SUM(T57:T64)</f>
        <v>0</v>
      </c>
      <c r="U65" s="81">
        <f t="shared" si="46"/>
        <v>0</v>
      </c>
      <c r="V65" s="81">
        <f t="shared" si="45"/>
        <v>0</v>
      </c>
      <c r="W65" s="81">
        <f t="shared" ref="W65:X65" si="47">SUM(W57:W64)</f>
        <v>0</v>
      </c>
      <c r="X65" s="82">
        <f t="shared" si="47"/>
        <v>-25908.950808338308</v>
      </c>
      <c r="Y65" s="151">
        <f t="shared" si="45"/>
        <v>0</v>
      </c>
      <c r="Z65" s="31">
        <f t="shared" si="45"/>
        <v>-55137271.460930869</v>
      </c>
      <c r="AA65" s="81">
        <f t="shared" si="45"/>
        <v>0</v>
      </c>
      <c r="AB65" s="81">
        <f t="shared" si="45"/>
        <v>-22940109.889799323</v>
      </c>
      <c r="AC65" s="82">
        <f t="shared" ref="AC65" si="48">SUM(AC57:AC64)</f>
        <v>-470359.61073893483</v>
      </c>
      <c r="AD65" s="31">
        <f t="shared" si="45"/>
        <v>0</v>
      </c>
      <c r="AE65" s="82">
        <f t="shared" si="45"/>
        <v>0</v>
      </c>
      <c r="AF65" s="31">
        <f t="shared" si="45"/>
        <v>0</v>
      </c>
      <c r="AG65" s="81">
        <f t="shared" si="45"/>
        <v>8675778.4500000477</v>
      </c>
      <c r="AH65" s="81">
        <f t="shared" si="45"/>
        <v>0</v>
      </c>
      <c r="AI65" s="81">
        <f t="shared" si="45"/>
        <v>25563147</v>
      </c>
      <c r="AJ65" s="81">
        <f t="shared" si="45"/>
        <v>0</v>
      </c>
      <c r="AK65" s="82">
        <f t="shared" si="45"/>
        <v>0</v>
      </c>
      <c r="AL65" s="31">
        <f t="shared" si="45"/>
        <v>0</v>
      </c>
      <c r="AM65" s="81">
        <f t="shared" ref="AM65:AO65" si="49">SUM(AM57:AM64)</f>
        <v>0</v>
      </c>
      <c r="AN65" s="81">
        <f t="shared" si="49"/>
        <v>0</v>
      </c>
      <c r="AO65" s="82">
        <f t="shared" si="49"/>
        <v>-344082.29787929845</v>
      </c>
      <c r="AP65" s="31">
        <f t="shared" si="45"/>
        <v>-6094252.5511277551</v>
      </c>
      <c r="AQ65" s="82">
        <f t="shared" si="45"/>
        <v>-12368684.820000019</v>
      </c>
      <c r="AR65" s="31">
        <f t="shared" si="45"/>
        <v>0</v>
      </c>
      <c r="AS65" s="81">
        <f t="shared" si="45"/>
        <v>-1215586.3930333483</v>
      </c>
      <c r="AT65" s="81">
        <f t="shared" ref="AT65" si="50">SUM(AT57:AT64)</f>
        <v>0</v>
      </c>
      <c r="AU65" s="81">
        <f t="shared" si="45"/>
        <v>0</v>
      </c>
      <c r="AV65" s="81">
        <f t="shared" si="45"/>
        <v>0</v>
      </c>
      <c r="AW65" s="82">
        <f t="shared" si="45"/>
        <v>0</v>
      </c>
      <c r="AX65" s="31">
        <f t="shared" si="45"/>
        <v>2162228.1924558603</v>
      </c>
      <c r="AY65" s="81">
        <f t="shared" si="45"/>
        <v>0</v>
      </c>
      <c r="AZ65" s="81">
        <f t="shared" si="45"/>
        <v>0</v>
      </c>
      <c r="BA65" s="81">
        <f t="shared" si="45"/>
        <v>97320588.291133866</v>
      </c>
      <c r="BB65" s="81">
        <f>SUM(BB57:BB64)</f>
        <v>-6635507.7683081403</v>
      </c>
      <c r="BC65" s="82">
        <f>SUM(BC57:BC64)</f>
        <v>-4908337.0019617639</v>
      </c>
      <c r="BD65" s="31">
        <f t="shared" ref="BD65:BG65" si="51">SUM(BD57:BD64)</f>
        <v>-1477286.3158250481</v>
      </c>
      <c r="BE65" s="81">
        <f t="shared" si="51"/>
        <v>40909461.619701289</v>
      </c>
      <c r="BF65" s="81">
        <f t="shared" si="51"/>
        <v>-101023.88727748067</v>
      </c>
      <c r="BG65" s="82">
        <f t="shared" si="51"/>
        <v>-12544317.799000483</v>
      </c>
    </row>
    <row r="66" spans="1:59" x14ac:dyDescent="0.2">
      <c r="A66" s="14"/>
      <c r="B66" s="28">
        <f t="shared" si="44"/>
        <v>0</v>
      </c>
      <c r="C66" s="28"/>
      <c r="D66" s="12"/>
      <c r="E66" s="12"/>
      <c r="F66" s="75"/>
      <c r="G66" s="76"/>
      <c r="H66" s="28"/>
      <c r="I66" s="12"/>
      <c r="J66" s="12"/>
      <c r="K66" s="12"/>
      <c r="L66" s="12"/>
      <c r="M66" s="75"/>
      <c r="N66" s="28"/>
      <c r="O66" s="12"/>
      <c r="P66" s="12"/>
      <c r="Q66" s="12"/>
      <c r="R66" s="12"/>
      <c r="S66" s="75"/>
      <c r="T66" s="28"/>
      <c r="U66" s="12"/>
      <c r="V66" s="12"/>
      <c r="W66" s="12"/>
      <c r="X66" s="75"/>
      <c r="Y66" s="76"/>
      <c r="Z66" s="28"/>
      <c r="AA66" s="12"/>
      <c r="AB66" s="12"/>
      <c r="AC66" s="75"/>
      <c r="AD66" s="28"/>
      <c r="AE66" s="75"/>
      <c r="AF66" s="28"/>
      <c r="AG66" s="12"/>
      <c r="AH66" s="12"/>
      <c r="AI66" s="12"/>
      <c r="AJ66" s="12"/>
      <c r="AK66" s="75"/>
      <c r="AL66" s="28"/>
      <c r="AM66" s="12"/>
      <c r="AN66" s="12"/>
      <c r="AO66" s="75"/>
      <c r="AP66" s="28"/>
      <c r="AQ66" s="75"/>
      <c r="AR66" s="28"/>
      <c r="AS66" s="12"/>
      <c r="AT66" s="12"/>
      <c r="AU66" s="12"/>
      <c r="AV66" s="12"/>
      <c r="AW66" s="75"/>
      <c r="AX66" s="28"/>
      <c r="AY66" s="12"/>
      <c r="AZ66" s="12"/>
      <c r="BA66" s="12"/>
      <c r="BB66" s="12"/>
      <c r="BC66" s="75"/>
      <c r="BD66" s="28"/>
      <c r="BE66" s="12"/>
      <c r="BF66" s="12"/>
      <c r="BG66" s="75"/>
    </row>
    <row r="67" spans="1:59" ht="13.5" thickBot="1" x14ac:dyDescent="0.25">
      <c r="A67" s="14" t="s">
        <v>95</v>
      </c>
      <c r="B67" s="35">
        <f t="shared" si="44"/>
        <v>246967822.64943671</v>
      </c>
      <c r="C67" s="35">
        <f t="shared" ref="C67:BB67" si="52">C54+C65</f>
        <v>0</v>
      </c>
      <c r="D67" s="92">
        <f t="shared" si="52"/>
        <v>0</v>
      </c>
      <c r="E67" s="92">
        <f t="shared" si="52"/>
        <v>0</v>
      </c>
      <c r="F67" s="155">
        <f t="shared" si="52"/>
        <v>0</v>
      </c>
      <c r="G67" s="154">
        <f t="shared" si="52"/>
        <v>0</v>
      </c>
      <c r="H67" s="35">
        <f t="shared" si="52"/>
        <v>0</v>
      </c>
      <c r="I67" s="92">
        <f t="shared" si="52"/>
        <v>0</v>
      </c>
      <c r="J67" s="92">
        <f t="shared" si="52"/>
        <v>0</v>
      </c>
      <c r="K67" s="92">
        <f t="shared" si="52"/>
        <v>0</v>
      </c>
      <c r="L67" s="92">
        <f t="shared" si="52"/>
        <v>0</v>
      </c>
      <c r="M67" s="155">
        <f t="shared" si="52"/>
        <v>0</v>
      </c>
      <c r="N67" s="35">
        <f t="shared" si="52"/>
        <v>0</v>
      </c>
      <c r="O67" s="92">
        <f t="shared" si="52"/>
        <v>0</v>
      </c>
      <c r="P67" s="92">
        <f t="shared" si="52"/>
        <v>0</v>
      </c>
      <c r="Q67" s="92">
        <f t="shared" si="52"/>
        <v>0</v>
      </c>
      <c r="R67" s="92">
        <f t="shared" si="52"/>
        <v>0</v>
      </c>
      <c r="S67" s="155">
        <f t="shared" si="52"/>
        <v>0</v>
      </c>
      <c r="T67" s="35">
        <f t="shared" ref="T67:U67" si="53">T54+T65</f>
        <v>0</v>
      </c>
      <c r="U67" s="92">
        <f t="shared" si="53"/>
        <v>0</v>
      </c>
      <c r="V67" s="92">
        <f t="shared" si="52"/>
        <v>0</v>
      </c>
      <c r="W67" s="92">
        <f t="shared" ref="W67:X67" si="54">W54+W65</f>
        <v>0</v>
      </c>
      <c r="X67" s="155">
        <f t="shared" si="54"/>
        <v>286535.21479052107</v>
      </c>
      <c r="Y67" s="154">
        <f t="shared" si="52"/>
        <v>0</v>
      </c>
      <c r="Z67" s="35">
        <f t="shared" si="52"/>
        <v>-55137271.460930869</v>
      </c>
      <c r="AA67" s="92">
        <f t="shared" si="52"/>
        <v>0</v>
      </c>
      <c r="AB67" s="92">
        <f t="shared" si="52"/>
        <v>-22940109.889799323</v>
      </c>
      <c r="AC67" s="155">
        <f t="shared" ref="AC67" si="55">AC54+AC65</f>
        <v>-470359.61073893483</v>
      </c>
      <c r="AD67" s="35">
        <f t="shared" si="52"/>
        <v>0</v>
      </c>
      <c r="AE67" s="155">
        <f t="shared" si="52"/>
        <v>0</v>
      </c>
      <c r="AF67" s="35">
        <f t="shared" si="52"/>
        <v>0</v>
      </c>
      <c r="AG67" s="92">
        <f t="shared" si="52"/>
        <v>8675778.4500000477</v>
      </c>
      <c r="AH67" s="92">
        <f t="shared" si="52"/>
        <v>0</v>
      </c>
      <c r="AI67" s="92">
        <f t="shared" si="52"/>
        <v>25563147</v>
      </c>
      <c r="AJ67" s="92">
        <f t="shared" si="52"/>
        <v>0</v>
      </c>
      <c r="AK67" s="155">
        <f t="shared" si="52"/>
        <v>0</v>
      </c>
      <c r="AL67" s="35">
        <f t="shared" si="52"/>
        <v>0</v>
      </c>
      <c r="AM67" s="92">
        <f t="shared" ref="AM67:AO67" si="56">AM54+AM65</f>
        <v>0</v>
      </c>
      <c r="AN67" s="92">
        <f t="shared" si="56"/>
        <v>0</v>
      </c>
      <c r="AO67" s="155">
        <f t="shared" si="56"/>
        <v>-344082.29787929845</v>
      </c>
      <c r="AP67" s="35">
        <f t="shared" si="52"/>
        <v>-4377790.088828586</v>
      </c>
      <c r="AQ67" s="155">
        <f t="shared" si="52"/>
        <v>-12227254.634166686</v>
      </c>
      <c r="AR67" s="35">
        <f t="shared" si="52"/>
        <v>0</v>
      </c>
      <c r="AS67" s="92">
        <f t="shared" si="52"/>
        <v>70839343.314627215</v>
      </c>
      <c r="AT67" s="92">
        <f t="shared" ref="AT67" si="57">AT54+AT65</f>
        <v>0</v>
      </c>
      <c r="AU67" s="92">
        <f t="shared" si="52"/>
        <v>-119616.25699999859</v>
      </c>
      <c r="AV67" s="92">
        <f t="shared" si="52"/>
        <v>0</v>
      </c>
      <c r="AW67" s="155">
        <f t="shared" si="52"/>
        <v>0</v>
      </c>
      <c r="AX67" s="35">
        <f t="shared" si="52"/>
        <v>1096167.463527739</v>
      </c>
      <c r="AY67" s="92">
        <f t="shared" si="52"/>
        <v>0</v>
      </c>
      <c r="AZ67" s="92">
        <f t="shared" si="52"/>
        <v>0</v>
      </c>
      <c r="BA67" s="92">
        <f t="shared" si="52"/>
        <v>86363975.252362356</v>
      </c>
      <c r="BB67" s="92">
        <f t="shared" si="52"/>
        <v>182406898.66774014</v>
      </c>
      <c r="BC67" s="155">
        <f t="shared" ref="BC67" si="58">BC54+BC65</f>
        <v>-4908337.0019617639</v>
      </c>
      <c r="BD67" s="35">
        <f t="shared" ref="BD67:BG67" si="59">BD54+BD65</f>
        <v>-4261950.6440678341</v>
      </c>
      <c r="BE67" s="92">
        <f t="shared" si="59"/>
        <v>-56434564.101593889</v>
      </c>
      <c r="BF67" s="92">
        <f t="shared" si="59"/>
        <v>1427866.196623839</v>
      </c>
      <c r="BG67" s="155">
        <f t="shared" si="59"/>
        <v>31529447.076732036</v>
      </c>
    </row>
    <row r="68" spans="1:59" ht="13.5" thickTop="1" x14ac:dyDescent="0.2">
      <c r="A68" s="14"/>
      <c r="B68" s="28"/>
      <c r="C68" s="28"/>
      <c r="D68" s="12"/>
      <c r="E68" s="12"/>
      <c r="F68" s="75"/>
      <c r="G68" s="76"/>
      <c r="H68" s="28"/>
      <c r="I68" s="12"/>
      <c r="J68" s="12"/>
      <c r="K68" s="12"/>
      <c r="L68" s="12"/>
      <c r="M68" s="75"/>
      <c r="N68" s="28"/>
      <c r="O68" s="12"/>
      <c r="P68" s="12"/>
      <c r="Q68" s="12"/>
      <c r="R68" s="12"/>
      <c r="S68" s="75"/>
      <c r="T68" s="28"/>
      <c r="U68" s="12"/>
      <c r="V68" s="12"/>
      <c r="W68" s="12"/>
      <c r="X68" s="75"/>
      <c r="Y68" s="76"/>
      <c r="Z68" s="28"/>
      <c r="AA68" s="12"/>
      <c r="AB68" s="12"/>
      <c r="AC68" s="75"/>
      <c r="AD68" s="28"/>
      <c r="AE68" s="75"/>
      <c r="AF68" s="28"/>
      <c r="AG68" s="12"/>
      <c r="AH68" s="12"/>
      <c r="AI68" s="12"/>
      <c r="AJ68" s="12"/>
      <c r="AK68" s="75"/>
      <c r="AL68" s="28"/>
      <c r="AM68" s="12"/>
      <c r="AN68" s="12"/>
      <c r="AO68" s="75"/>
      <c r="AP68" s="28"/>
      <c r="AQ68" s="75"/>
      <c r="AR68" s="28"/>
      <c r="AS68" s="12"/>
      <c r="AT68" s="12"/>
      <c r="AU68" s="12"/>
      <c r="AV68" s="12"/>
      <c r="AW68" s="75"/>
      <c r="AX68" s="28"/>
      <c r="AY68" s="12"/>
      <c r="AZ68" s="12"/>
      <c r="BA68" s="12"/>
      <c r="BB68" s="12"/>
      <c r="BC68" s="75"/>
      <c r="BD68" s="28"/>
      <c r="BE68" s="12"/>
      <c r="BF68" s="12"/>
      <c r="BG68" s="75"/>
    </row>
    <row r="69" spans="1:59" x14ac:dyDescent="0.2">
      <c r="A69" s="14"/>
      <c r="B69" s="28"/>
      <c r="C69" s="28"/>
      <c r="D69" s="12"/>
      <c r="E69" s="12"/>
      <c r="F69" s="75"/>
      <c r="G69" s="76"/>
      <c r="H69" s="28"/>
      <c r="I69" s="12"/>
      <c r="J69" s="12"/>
      <c r="K69" s="12"/>
      <c r="L69" s="12"/>
      <c r="M69" s="75"/>
      <c r="N69" s="28"/>
      <c r="O69" s="12"/>
      <c r="P69" s="12"/>
      <c r="Q69" s="12"/>
      <c r="R69" s="12"/>
      <c r="S69" s="75"/>
      <c r="T69" s="28"/>
      <c r="U69" s="12"/>
      <c r="V69" s="12"/>
      <c r="W69" s="12"/>
      <c r="X69" s="75"/>
      <c r="Y69" s="76"/>
      <c r="Z69" s="28"/>
      <c r="AA69" s="12"/>
      <c r="AB69" s="12"/>
      <c r="AC69" s="75"/>
      <c r="AD69" s="28"/>
      <c r="AE69" s="75"/>
      <c r="AF69" s="28"/>
      <c r="AG69" s="12"/>
      <c r="AH69" s="12"/>
      <c r="AI69" s="12"/>
      <c r="AJ69" s="12"/>
      <c r="AK69" s="75"/>
      <c r="AL69" s="28"/>
      <c r="AM69" s="12"/>
      <c r="AN69" s="12"/>
      <c r="AO69" s="75"/>
      <c r="AP69" s="28"/>
      <c r="AQ69" s="75"/>
      <c r="AR69" s="28"/>
      <c r="AS69" s="12"/>
      <c r="AT69" s="12"/>
      <c r="AU69" s="12"/>
      <c r="AV69" s="12"/>
      <c r="AW69" s="75"/>
      <c r="AX69" s="28"/>
      <c r="AY69" s="12"/>
      <c r="AZ69" s="12"/>
      <c r="BA69" s="12"/>
      <c r="BB69" s="12"/>
      <c r="BC69" s="75"/>
      <c r="BD69" s="28"/>
      <c r="BE69" s="12"/>
      <c r="BF69" s="12"/>
      <c r="BG69" s="75"/>
    </row>
    <row r="70" spans="1:59" s="187" customFormat="1" x14ac:dyDescent="0.2">
      <c r="A70" s="237" t="s">
        <v>149</v>
      </c>
      <c r="B70" s="17">
        <f t="shared" ref="B70:BB70" si="60">(((B40+Unadj_Op_revenue)/(B67+Unadj_rate_base))-Weighted_cost_debt-Weighted_cost_pref)/Percent_common-Unadj_ROE</f>
        <v>-0.10760077646933439</v>
      </c>
      <c r="C70" s="17">
        <f t="shared" si="60"/>
        <v>0</v>
      </c>
      <c r="D70" s="16">
        <f t="shared" si="60"/>
        <v>0</v>
      </c>
      <c r="E70" s="16">
        <f t="shared" si="60"/>
        <v>3.2417026582433339E-4</v>
      </c>
      <c r="F70" s="18">
        <f t="shared" si="60"/>
        <v>8.8151702054907466E-4</v>
      </c>
      <c r="G70" s="19">
        <f t="shared" si="60"/>
        <v>0</v>
      </c>
      <c r="H70" s="17">
        <f t="shared" si="60"/>
        <v>0</v>
      </c>
      <c r="I70" s="16">
        <f t="shared" si="60"/>
        <v>-2.4557327552337804E-3</v>
      </c>
      <c r="J70" s="16">
        <f t="shared" si="60"/>
        <v>-2.1818534890126473E-4</v>
      </c>
      <c r="K70" s="16">
        <f t="shared" si="60"/>
        <v>0</v>
      </c>
      <c r="L70" s="16">
        <f t="shared" si="60"/>
        <v>0</v>
      </c>
      <c r="M70" s="18">
        <f t="shared" si="60"/>
        <v>0</v>
      </c>
      <c r="N70" s="17">
        <f t="shared" si="60"/>
        <v>0</v>
      </c>
      <c r="O70" s="16">
        <f t="shared" si="60"/>
        <v>-2.5206341545820216E-3</v>
      </c>
      <c r="P70" s="16">
        <f t="shared" si="60"/>
        <v>0</v>
      </c>
      <c r="Q70" s="16">
        <f t="shared" si="60"/>
        <v>0</v>
      </c>
      <c r="R70" s="16">
        <f t="shared" si="60"/>
        <v>0</v>
      </c>
      <c r="S70" s="18">
        <f t="shared" si="60"/>
        <v>-2.1900301625320251E-4</v>
      </c>
      <c r="T70" s="17">
        <f t="shared" ref="T70:U70" si="61">(((T40+Unadj_Op_revenue)/(T67+Unadj_rate_base))-Weighted_cost_debt-Weighted_cost_pref)/Percent_common-Unadj_ROE</f>
        <v>0</v>
      </c>
      <c r="U70" s="16">
        <f t="shared" si="61"/>
        <v>6.309103793816398E-3</v>
      </c>
      <c r="V70" s="16">
        <f t="shared" si="60"/>
        <v>0</v>
      </c>
      <c r="W70" s="16">
        <f t="shared" ref="W70:X70" si="62">(((W40+Unadj_Op_revenue)/(W67+Unadj_rate_base))-Weighted_cost_debt-Weighted_cost_pref)/Percent_common-Unadj_ROE</f>
        <v>-3.0889037989915991E-4</v>
      </c>
      <c r="X70" s="18">
        <f t="shared" si="62"/>
        <v>-1.4505764807676291E-4</v>
      </c>
      <c r="Y70" s="19">
        <f t="shared" si="60"/>
        <v>4.7335344828051962E-3</v>
      </c>
      <c r="Z70" s="17">
        <f t="shared" si="60"/>
        <v>1.2264978457637438E-2</v>
      </c>
      <c r="AA70" s="16">
        <f t="shared" si="60"/>
        <v>0</v>
      </c>
      <c r="AB70" s="16">
        <f t="shared" si="60"/>
        <v>-0.13058177373748731</v>
      </c>
      <c r="AC70" s="18">
        <f t="shared" ref="AC70" si="63">(((AC40+Unadj_Op_revenue)/(AC67+Unadj_rate_base))-Weighted_cost_debt-Weighted_cost_pref)/Percent_common-Unadj_ROE</f>
        <v>-4.4586414692052989E-3</v>
      </c>
      <c r="AD70" s="17">
        <f t="shared" si="60"/>
        <v>2.958194733819447E-3</v>
      </c>
      <c r="AE70" s="18">
        <f t="shared" si="60"/>
        <v>-4.1351715020913338E-3</v>
      </c>
      <c r="AF70" s="17">
        <f t="shared" si="60"/>
        <v>3.4234034064595464E-2</v>
      </c>
      <c r="AG70" s="16">
        <f t="shared" si="60"/>
        <v>-1.7734710008017185E-3</v>
      </c>
      <c r="AH70" s="16">
        <f t="shared" si="60"/>
        <v>2.8167822901405126E-4</v>
      </c>
      <c r="AI70" s="16">
        <f t="shared" si="60"/>
        <v>-1.0208621092738054E-2</v>
      </c>
      <c r="AJ70" s="16">
        <f t="shared" si="60"/>
        <v>0</v>
      </c>
      <c r="AK70" s="18">
        <f t="shared" si="60"/>
        <v>0</v>
      </c>
      <c r="AL70" s="17">
        <f t="shared" si="60"/>
        <v>6.3879703564584389E-6</v>
      </c>
      <c r="AM70" s="16">
        <f t="shared" ref="AM70:AO70" si="64">(((AM40+Unadj_Op_revenue)/(AM67+Unadj_rate_base))-Weighted_cost_debt-Weighted_cost_pref)/Percent_common-Unadj_ROE</f>
        <v>-3.482983408663598E-4</v>
      </c>
      <c r="AN70" s="16">
        <f t="shared" si="64"/>
        <v>0</v>
      </c>
      <c r="AO70" s="18">
        <f t="shared" si="64"/>
        <v>-6.9628420830409599E-3</v>
      </c>
      <c r="AP70" s="17">
        <f t="shared" si="60"/>
        <v>9.0997803580071535E-4</v>
      </c>
      <c r="AQ70" s="18">
        <f t="shared" si="60"/>
        <v>3.5992454082570208E-2</v>
      </c>
      <c r="AR70" s="17">
        <f t="shared" si="60"/>
        <v>0</v>
      </c>
      <c r="AS70" s="16">
        <f t="shared" si="60"/>
        <v>-1.3941868973505675E-2</v>
      </c>
      <c r="AT70" s="16">
        <f t="shared" ref="AT70" si="65">(((AT40+Unadj_Op_revenue)/(AT67+Unadj_rate_base))-Weighted_cost_debt-Weighted_cost_pref)/Percent_common-Unadj_ROE</f>
        <v>0</v>
      </c>
      <c r="AU70" s="16">
        <f t="shared" si="60"/>
        <v>5.3485645425579986E-4</v>
      </c>
      <c r="AV70" s="16">
        <f t="shared" si="60"/>
        <v>0</v>
      </c>
      <c r="AW70" s="18">
        <f t="shared" si="60"/>
        <v>0</v>
      </c>
      <c r="AX70" s="17">
        <f t="shared" si="60"/>
        <v>-2.2625255999339511E-4</v>
      </c>
      <c r="AY70" s="16">
        <f t="shared" si="60"/>
        <v>0</v>
      </c>
      <c r="AZ70" s="16">
        <f t="shared" si="60"/>
        <v>0</v>
      </c>
      <c r="BA70" s="16">
        <f t="shared" si="60"/>
        <v>-1.5612452833630705E-2</v>
      </c>
      <c r="BB70" s="16">
        <f t="shared" si="60"/>
        <v>-3.5323282517084997E-2</v>
      </c>
      <c r="BC70" s="18">
        <f t="shared" ref="BC70" si="66">(((BC40+Unadj_Op_revenue)/(BC67+Unadj_rate_base))-Weighted_cost_debt-Weighted_cost_pref)/Percent_common-Unadj_ROE</f>
        <v>-2.3120739375298155E-2</v>
      </c>
      <c r="BD70" s="17">
        <f t="shared" ref="BD70:BG70" si="67">(((BD40+Unadj_Op_revenue)/(BD67+Unadj_rate_base))-Weighted_cost_debt-Weighted_cost_pref)/Percent_common-Unadj_ROE</f>
        <v>5.4265383500902292E-3</v>
      </c>
      <c r="BE70" s="16">
        <f t="shared" si="67"/>
        <v>2.345648814458115E-2</v>
      </c>
      <c r="BF70" s="16">
        <f t="shared" si="67"/>
        <v>-6.0735661612659753E-4</v>
      </c>
      <c r="BG70" s="18">
        <f t="shared" si="67"/>
        <v>-5.8355400221899584E-3</v>
      </c>
    </row>
    <row r="71" spans="1:59" x14ac:dyDescent="0.2">
      <c r="A71" s="14" t="s">
        <v>43</v>
      </c>
      <c r="B71" s="36">
        <f>SUM(C71:BG71)</f>
        <v>74501269.205244452</v>
      </c>
      <c r="C71" s="36">
        <f t="shared" ref="C71:BB71" si="68">-(C40-(C67*Overall_ROR))/gross_up_factor</f>
        <v>0</v>
      </c>
      <c r="D71" s="93">
        <f t="shared" si="68"/>
        <v>0</v>
      </c>
      <c r="E71" s="93">
        <f t="shared" si="68"/>
        <v>-176130.426942502</v>
      </c>
      <c r="F71" s="157">
        <f t="shared" si="68"/>
        <v>-478951.91371601424</v>
      </c>
      <c r="G71" s="156">
        <f t="shared" si="68"/>
        <v>0</v>
      </c>
      <c r="H71" s="36">
        <f t="shared" si="68"/>
        <v>0</v>
      </c>
      <c r="I71" s="93">
        <f t="shared" si="68"/>
        <v>1334265.6752806464</v>
      </c>
      <c r="J71" s="93">
        <f t="shared" si="68"/>
        <v>118545.97014582713</v>
      </c>
      <c r="K71" s="93">
        <f t="shared" si="68"/>
        <v>0</v>
      </c>
      <c r="L71" s="93">
        <f t="shared" si="68"/>
        <v>0</v>
      </c>
      <c r="M71" s="157">
        <f t="shared" si="68"/>
        <v>0</v>
      </c>
      <c r="N71" s="36">
        <f t="shared" si="68"/>
        <v>0</v>
      </c>
      <c r="O71" s="93">
        <f t="shared" si="68"/>
        <v>1369528.3516624556</v>
      </c>
      <c r="P71" s="93">
        <f t="shared" si="68"/>
        <v>0</v>
      </c>
      <c r="Q71" s="93">
        <f t="shared" si="68"/>
        <v>0</v>
      </c>
      <c r="R71" s="93">
        <f t="shared" si="68"/>
        <v>0</v>
      </c>
      <c r="S71" s="157">
        <f t="shared" si="68"/>
        <v>118990.230816765</v>
      </c>
      <c r="T71" s="36">
        <f t="shared" ref="T71:U71" si="69">-(T40-(T67*Overall_ROR))/gross_up_factor</f>
        <v>0</v>
      </c>
      <c r="U71" s="93">
        <f t="shared" si="69"/>
        <v>-3427905.8321518279</v>
      </c>
      <c r="V71" s="93">
        <f t="shared" si="68"/>
        <v>0</v>
      </c>
      <c r="W71" s="93">
        <f t="shared" ref="W71:X71" si="70">-(W40-(W67*Overall_ROR))/gross_up_factor</f>
        <v>167828.45382725884</v>
      </c>
      <c r="X71" s="157">
        <f t="shared" si="70"/>
        <v>75939.03663644912</v>
      </c>
      <c r="Y71" s="156">
        <f t="shared" si="68"/>
        <v>-2571856.6361522055</v>
      </c>
      <c r="Z71" s="36">
        <f t="shared" si="68"/>
        <v>-5633294.092741346</v>
      </c>
      <c r="AA71" s="93">
        <f t="shared" si="68"/>
        <v>0</v>
      </c>
      <c r="AB71" s="93">
        <f t="shared" si="68"/>
        <v>69090950.319808364</v>
      </c>
      <c r="AC71" s="157">
        <f t="shared" ref="AC71" si="71">-(AC40-(AC67*Overall_ROR))/gross_up_factor</f>
        <v>2425803.1227054209</v>
      </c>
      <c r="AD71" s="36">
        <f t="shared" si="68"/>
        <v>-1607266.7865504492</v>
      </c>
      <c r="AE71" s="157">
        <f t="shared" si="68"/>
        <v>2246749.9302927703</v>
      </c>
      <c r="AF71" s="36">
        <f t="shared" si="68"/>
        <v>-18600271.744320914</v>
      </c>
      <c r="AG71" s="93">
        <f t="shared" si="68"/>
        <v>886391.54962444014</v>
      </c>
      <c r="AH71" s="93">
        <f t="shared" si="68"/>
        <v>-153043.36013204776</v>
      </c>
      <c r="AI71" s="93">
        <f t="shared" si="68"/>
        <v>5469651.3508329149</v>
      </c>
      <c r="AJ71" s="93">
        <f t="shared" si="68"/>
        <v>0</v>
      </c>
      <c r="AK71" s="157">
        <f t="shared" si="68"/>
        <v>0</v>
      </c>
      <c r="AL71" s="36">
        <f t="shared" si="68"/>
        <v>-3470.7561574719512</v>
      </c>
      <c r="AM71" s="93">
        <f t="shared" ref="AM71:AO71" si="72">-(AM40-(AM67*Overall_ROR))/gross_up_factor</f>
        <v>189239.85925778397</v>
      </c>
      <c r="AN71" s="93">
        <f t="shared" si="72"/>
        <v>0</v>
      </c>
      <c r="AO71" s="157">
        <f t="shared" si="72"/>
        <v>3784914.6600330016</v>
      </c>
      <c r="AP71" s="36">
        <f t="shared" si="68"/>
        <v>-447272.38750169618</v>
      </c>
      <c r="AQ71" s="157">
        <f t="shared" si="68"/>
        <v>-19124694.30112794</v>
      </c>
      <c r="AR71" s="36">
        <f t="shared" si="68"/>
        <v>0</v>
      </c>
      <c r="AS71" s="93">
        <f t="shared" si="68"/>
        <v>7546228.8098859675</v>
      </c>
      <c r="AT71" s="93">
        <f t="shared" ref="AT71" si="73">-(AT40-(AT67*Overall_ROR))/gross_up_factor</f>
        <v>0</v>
      </c>
      <c r="AU71" s="93">
        <f t="shared" si="68"/>
        <v>-289345.09626950143</v>
      </c>
      <c r="AV71" s="93">
        <f t="shared" si="68"/>
        <v>0</v>
      </c>
      <c r="AW71" s="157">
        <f t="shared" si="68"/>
        <v>0</v>
      </c>
      <c r="AX71" s="36">
        <f t="shared" si="68"/>
        <v>111993.82075555874</v>
      </c>
      <c r="AY71" s="93">
        <f t="shared" si="68"/>
        <v>0</v>
      </c>
      <c r="AZ71" s="93">
        <f t="shared" si="68"/>
        <v>0</v>
      </c>
      <c r="BA71" s="93">
        <f t="shared" si="68"/>
        <v>8548266.4887767155</v>
      </c>
      <c r="BB71" s="93">
        <f t="shared" si="68"/>
        <v>21839277.95339001</v>
      </c>
      <c r="BC71" s="157">
        <f t="shared" ref="BC71" si="74">-(BC40-(BC67*Overall_ROR))/gross_up_factor</f>
        <v>12532677.633113012</v>
      </c>
      <c r="BD71" s="36">
        <f t="shared" ref="BD71:BG71" si="75">-(BD40-(BD67*Overall_ROR))/gross_up_factor</f>
        <v>-2889057.5892215641</v>
      </c>
      <c r="BE71" s="93">
        <f t="shared" si="75"/>
        <v>-11249012.274606543</v>
      </c>
      <c r="BF71" s="93">
        <f t="shared" si="75"/>
        <v>316128.59072814963</v>
      </c>
      <c r="BG71" s="157">
        <f t="shared" si="75"/>
        <v>2979470.5952629568</v>
      </c>
    </row>
    <row r="72" spans="1:59" x14ac:dyDescent="0.2">
      <c r="A72" s="14"/>
      <c r="B72" s="17"/>
      <c r="C72" s="17"/>
      <c r="D72" s="16"/>
      <c r="E72" s="16"/>
      <c r="F72" s="18"/>
      <c r="G72" s="19"/>
      <c r="H72" s="17"/>
      <c r="I72" s="16"/>
      <c r="J72" s="16"/>
      <c r="K72" s="16"/>
      <c r="L72" s="16"/>
      <c r="M72" s="18"/>
      <c r="N72" s="17"/>
      <c r="O72" s="16"/>
      <c r="P72" s="16"/>
      <c r="Q72" s="16"/>
      <c r="R72" s="16"/>
      <c r="S72" s="18"/>
      <c r="T72" s="17"/>
      <c r="U72" s="16"/>
      <c r="V72" s="16"/>
      <c r="W72" s="16"/>
      <c r="X72" s="18"/>
      <c r="Y72" s="19"/>
      <c r="Z72" s="17"/>
      <c r="AA72" s="16"/>
      <c r="AB72" s="16"/>
      <c r="AC72" s="18"/>
      <c r="AD72" s="17"/>
      <c r="AE72" s="18"/>
      <c r="AF72" s="17"/>
      <c r="AG72" s="16"/>
      <c r="AH72" s="16"/>
      <c r="AI72" s="16"/>
      <c r="AJ72" s="16"/>
      <c r="AK72" s="18"/>
      <c r="AL72" s="17"/>
      <c r="AM72" s="16"/>
      <c r="AN72" s="16"/>
      <c r="AO72" s="18"/>
      <c r="AP72" s="17"/>
      <c r="AQ72" s="18"/>
      <c r="AR72" s="17"/>
      <c r="AS72" s="16"/>
      <c r="AT72" s="16"/>
      <c r="AU72" s="16"/>
      <c r="AV72" s="16"/>
      <c r="AW72" s="18"/>
      <c r="AX72" s="17"/>
      <c r="AY72" s="16"/>
      <c r="AZ72" s="16"/>
      <c r="BA72" s="16"/>
      <c r="BB72" s="16"/>
      <c r="BC72" s="18"/>
      <c r="BD72" s="17"/>
      <c r="BE72" s="16"/>
      <c r="BF72" s="16"/>
      <c r="BG72" s="18"/>
    </row>
    <row r="73" spans="1:59" x14ac:dyDescent="0.2">
      <c r="A73" s="14" t="s">
        <v>97</v>
      </c>
      <c r="B73" s="28"/>
      <c r="C73" s="28"/>
      <c r="D73" s="12"/>
      <c r="E73" s="12"/>
      <c r="F73" s="75"/>
      <c r="G73" s="76"/>
      <c r="H73" s="28"/>
      <c r="I73" s="12"/>
      <c r="J73" s="12"/>
      <c r="K73" s="12"/>
      <c r="L73" s="12"/>
      <c r="M73" s="75"/>
      <c r="N73" s="28"/>
      <c r="O73" s="12"/>
      <c r="P73" s="12"/>
      <c r="Q73" s="12"/>
      <c r="R73" s="12"/>
      <c r="S73" s="75"/>
      <c r="T73" s="28"/>
      <c r="U73" s="12"/>
      <c r="V73" s="12"/>
      <c r="W73" s="12"/>
      <c r="X73" s="75"/>
      <c r="Y73" s="76"/>
      <c r="Z73" s="28"/>
      <c r="AA73" s="12"/>
      <c r="AB73" s="12"/>
      <c r="AC73" s="75"/>
      <c r="AD73" s="28"/>
      <c r="AE73" s="75"/>
      <c r="AF73" s="28"/>
      <c r="AG73" s="12"/>
      <c r="AH73" s="12"/>
      <c r="AI73" s="12"/>
      <c r="AJ73" s="12"/>
      <c r="AK73" s="75"/>
      <c r="AL73" s="28"/>
      <c r="AM73" s="12"/>
      <c r="AN73" s="12"/>
      <c r="AO73" s="75"/>
      <c r="AP73" s="28"/>
      <c r="AQ73" s="75"/>
      <c r="AR73" s="28"/>
      <c r="AS73" s="12"/>
      <c r="AT73" s="12"/>
      <c r="AU73" s="12"/>
      <c r="AV73" s="12"/>
      <c r="AW73" s="75"/>
      <c r="AX73" s="28"/>
      <c r="AY73" s="12"/>
      <c r="AZ73" s="12"/>
      <c r="BA73" s="12"/>
      <c r="BB73" s="12"/>
      <c r="BC73" s="75"/>
      <c r="BD73" s="28"/>
      <c r="BE73" s="12"/>
      <c r="BF73" s="12"/>
      <c r="BG73" s="75"/>
    </row>
    <row r="74" spans="1:59" x14ac:dyDescent="0.2">
      <c r="A74" s="14" t="s">
        <v>98</v>
      </c>
      <c r="B74" s="36">
        <f>SUM(C74:BG74)</f>
        <v>-67285655.735435754</v>
      </c>
      <c r="C74" s="36">
        <f t="shared" ref="C74:BB74" si="76">C16-C29-C30-C31-C32-C37</f>
        <v>0</v>
      </c>
      <c r="D74" s="93">
        <f t="shared" si="76"/>
        <v>0</v>
      </c>
      <c r="E74" s="93">
        <f t="shared" si="76"/>
        <v>167914.72285031062</v>
      </c>
      <c r="F74" s="157">
        <f t="shared" si="76"/>
        <v>456610.92888002045</v>
      </c>
      <c r="G74" s="156">
        <f t="shared" si="76"/>
        <v>0</v>
      </c>
      <c r="H74" s="36">
        <f t="shared" si="76"/>
        <v>0</v>
      </c>
      <c r="I74" s="93">
        <f>I16-I29-I30-I31-I32-I37</f>
        <v>-1272028.0928324289</v>
      </c>
      <c r="J74" s="93">
        <f t="shared" si="76"/>
        <v>-113016.3258421895</v>
      </c>
      <c r="K74" s="93">
        <f t="shared" si="76"/>
        <v>0</v>
      </c>
      <c r="L74" s="93">
        <f t="shared" si="76"/>
        <v>0</v>
      </c>
      <c r="M74" s="157">
        <f t="shared" si="76"/>
        <v>0</v>
      </c>
      <c r="N74" s="36">
        <f t="shared" si="76"/>
        <v>0</v>
      </c>
      <c r="O74" s="93">
        <f t="shared" si="76"/>
        <v>-1305645.921588074</v>
      </c>
      <c r="P74" s="93">
        <f t="shared" si="76"/>
        <v>0</v>
      </c>
      <c r="Q74" s="93">
        <f t="shared" si="76"/>
        <v>0</v>
      </c>
      <c r="R74" s="93">
        <f t="shared" si="76"/>
        <v>0</v>
      </c>
      <c r="S74" s="157">
        <f t="shared" si="76"/>
        <v>-113439.8637210716</v>
      </c>
      <c r="T74" s="36">
        <f t="shared" ref="T74:U74" si="77">T16-T29-T30-T31-T32-T37</f>
        <v>0</v>
      </c>
      <c r="U74" s="93">
        <f t="shared" si="77"/>
        <v>3268009.2120065186</v>
      </c>
      <c r="V74" s="93">
        <f t="shared" si="76"/>
        <v>0</v>
      </c>
      <c r="W74" s="93">
        <f t="shared" ref="W74:X74" si="78">W16-W29-W30-W31-W32-W37</f>
        <v>-160000</v>
      </c>
      <c r="X74" s="157">
        <f t="shared" si="78"/>
        <v>-39793.105350431266</v>
      </c>
      <c r="Y74" s="156">
        <f t="shared" si="76"/>
        <v>2451890.9183772579</v>
      </c>
      <c r="Z74" s="36">
        <f t="shared" si="76"/>
        <v>0</v>
      </c>
      <c r="AA74" s="93">
        <f t="shared" si="76"/>
        <v>0</v>
      </c>
      <c r="AB74" s="93">
        <f t="shared" si="76"/>
        <v>-75779202.472963661</v>
      </c>
      <c r="AC74" s="157">
        <f t="shared" ref="AC74" si="79">AC16-AC29-AC30-AC31-AC32-AC37</f>
        <v>-2675104.4628423811</v>
      </c>
      <c r="AD74" s="36">
        <f t="shared" si="76"/>
        <v>0</v>
      </c>
      <c r="AE74" s="157">
        <f t="shared" si="76"/>
        <v>-2141949</v>
      </c>
      <c r="AF74" s="36">
        <f t="shared" si="76"/>
        <v>0</v>
      </c>
      <c r="AG74" s="93">
        <f t="shared" si="76"/>
        <v>0</v>
      </c>
      <c r="AH74" s="93">
        <f t="shared" si="76"/>
        <v>0</v>
      </c>
      <c r="AI74" s="93">
        <f t="shared" si="76"/>
        <v>0</v>
      </c>
      <c r="AJ74" s="93">
        <f t="shared" si="76"/>
        <v>0</v>
      </c>
      <c r="AK74" s="157">
        <f t="shared" si="76"/>
        <v>0</v>
      </c>
      <c r="AL74" s="36">
        <f t="shared" si="76"/>
        <v>3308</v>
      </c>
      <c r="AM74" s="93">
        <f t="shared" ref="AM74:AO74" si="80">AM16-AM29-AM30-AM31-AM32-AM37</f>
        <v>-180412.60365467297</v>
      </c>
      <c r="AN74" s="93">
        <f t="shared" si="80"/>
        <v>0</v>
      </c>
      <c r="AO74" s="157">
        <f t="shared" si="80"/>
        <v>0</v>
      </c>
      <c r="AP74" s="36">
        <f t="shared" si="76"/>
        <v>0</v>
      </c>
      <c r="AQ74" s="157">
        <f t="shared" si="76"/>
        <v>16792869.56643609</v>
      </c>
      <c r="AR74" s="36">
        <f t="shared" si="76"/>
        <v>0</v>
      </c>
      <c r="AS74" s="93">
        <f t="shared" si="76"/>
        <v>0</v>
      </c>
      <c r="AT74" s="93">
        <f t="shared" ref="AT74" si="81">AT16-AT29-AT30-AT31-AT32-AT37</f>
        <v>0</v>
      </c>
      <c r="AU74" s="93">
        <f t="shared" si="76"/>
        <v>208716</v>
      </c>
      <c r="AV74" s="93">
        <f t="shared" si="76"/>
        <v>0</v>
      </c>
      <c r="AW74" s="157">
        <f t="shared" si="76"/>
        <v>0</v>
      </c>
      <c r="AX74" s="36">
        <f t="shared" si="76"/>
        <v>0</v>
      </c>
      <c r="AY74" s="93">
        <f t="shared" si="76"/>
        <v>0</v>
      </c>
      <c r="AZ74" s="93">
        <f t="shared" si="76"/>
        <v>0</v>
      </c>
      <c r="BA74" s="93">
        <f t="shared" si="76"/>
        <v>405882.31407772377</v>
      </c>
      <c r="BB74" s="93">
        <f t="shared" si="76"/>
        <v>-1793104.5099601755</v>
      </c>
      <c r="BC74" s="157">
        <f t="shared" ref="BC74" si="82">BC16-BC29-BC30-BC31-BC32-BC37</f>
        <v>-13017145.643060798</v>
      </c>
      <c r="BD74" s="36">
        <f t="shared" ref="BD74:BG74" si="83">BD16-BD29-BD30-BD31-BD32-BD37</f>
        <v>2305084.5267461999</v>
      </c>
      <c r="BE74" s="93">
        <f t="shared" si="83"/>
        <v>5165677.7015244085</v>
      </c>
      <c r="BF74" s="93">
        <f t="shared" si="83"/>
        <v>-151343.27845627139</v>
      </c>
      <c r="BG74" s="157">
        <f t="shared" si="83"/>
        <v>230565.65393785876</v>
      </c>
    </row>
    <row r="75" spans="1:59" x14ac:dyDescent="0.2">
      <c r="A75" s="14" t="s">
        <v>99</v>
      </c>
      <c r="B75" s="36">
        <f t="shared" ref="B75:B80" si="84">SUM(C75:BG75)</f>
        <v>0</v>
      </c>
      <c r="C75" s="28"/>
      <c r="D75" s="12"/>
      <c r="E75" s="12"/>
      <c r="F75" s="75"/>
      <c r="G75" s="76"/>
      <c r="H75" s="28"/>
      <c r="I75" s="12"/>
      <c r="J75" s="12"/>
      <c r="K75" s="12"/>
      <c r="L75" s="12"/>
      <c r="M75" s="75"/>
      <c r="N75" s="28"/>
      <c r="O75" s="12"/>
      <c r="P75" s="12"/>
      <c r="Q75" s="12"/>
      <c r="R75" s="12"/>
      <c r="S75" s="75"/>
      <c r="T75" s="28"/>
      <c r="U75" s="12"/>
      <c r="V75" s="12"/>
      <c r="W75" s="12"/>
      <c r="X75" s="75"/>
      <c r="Y75" s="76"/>
      <c r="Z75" s="28"/>
      <c r="AA75" s="12"/>
      <c r="AB75" s="12"/>
      <c r="AC75" s="75"/>
      <c r="AD75" s="28"/>
      <c r="AE75" s="75"/>
      <c r="AF75" s="28"/>
      <c r="AG75" s="12"/>
      <c r="AH75" s="12"/>
      <c r="AI75" s="12"/>
      <c r="AJ75" s="12"/>
      <c r="AK75" s="75"/>
      <c r="AL75" s="28"/>
      <c r="AM75" s="12"/>
      <c r="AN75" s="12"/>
      <c r="AO75" s="75"/>
      <c r="AP75" s="28"/>
      <c r="AQ75" s="75"/>
      <c r="AR75" s="28"/>
      <c r="AS75" s="12"/>
      <c r="AT75" s="12"/>
      <c r="AU75" s="12"/>
      <c r="AV75" s="12"/>
      <c r="AW75" s="75"/>
      <c r="AX75" s="28"/>
      <c r="AY75" s="12"/>
      <c r="AZ75" s="12"/>
      <c r="BA75" s="12"/>
      <c r="BB75" s="12"/>
      <c r="BC75" s="75"/>
      <c r="BD75" s="28"/>
      <c r="BE75" s="12"/>
      <c r="BF75" s="12"/>
      <c r="BG75" s="75"/>
    </row>
    <row r="76" spans="1:59" x14ac:dyDescent="0.2">
      <c r="A76" s="14" t="s">
        <v>100</v>
      </c>
      <c r="B76" s="36">
        <f t="shared" si="84"/>
        <v>0</v>
      </c>
      <c r="C76" s="29"/>
      <c r="D76" s="77"/>
      <c r="E76" s="77"/>
      <c r="F76" s="78"/>
      <c r="G76" s="87"/>
      <c r="H76" s="29"/>
      <c r="I76" s="77"/>
      <c r="J76" s="77"/>
      <c r="K76" s="77"/>
      <c r="L76" s="77"/>
      <c r="M76" s="78"/>
      <c r="N76" s="29"/>
      <c r="O76" s="77"/>
      <c r="P76" s="77"/>
      <c r="Q76" s="77"/>
      <c r="R76" s="77"/>
      <c r="S76" s="78"/>
      <c r="T76" s="29"/>
      <c r="U76" s="77"/>
      <c r="V76" s="77"/>
      <c r="W76" s="77"/>
      <c r="X76" s="78"/>
      <c r="Y76" s="87"/>
      <c r="Z76" s="29"/>
      <c r="AA76" s="77"/>
      <c r="AB76" s="77"/>
      <c r="AC76" s="78"/>
      <c r="AD76" s="29"/>
      <c r="AE76" s="78"/>
      <c r="AF76" s="29"/>
      <c r="AG76" s="77"/>
      <c r="AH76" s="77"/>
      <c r="AI76" s="77"/>
      <c r="AJ76" s="77"/>
      <c r="AK76" s="78"/>
      <c r="AL76" s="29"/>
      <c r="AM76" s="77"/>
      <c r="AN76" s="77"/>
      <c r="AO76" s="78"/>
      <c r="AP76" s="29"/>
      <c r="AQ76" s="78"/>
      <c r="AR76" s="29"/>
      <c r="AS76" s="77"/>
      <c r="AT76" s="77"/>
      <c r="AU76" s="77"/>
      <c r="AV76" s="77"/>
      <c r="AW76" s="78"/>
      <c r="AX76" s="29"/>
      <c r="AY76" s="77"/>
      <c r="AZ76" s="77"/>
      <c r="BA76" s="77"/>
      <c r="BB76" s="77"/>
      <c r="BC76" s="78"/>
      <c r="BD76" s="29"/>
      <c r="BE76" s="77"/>
      <c r="BF76" s="77"/>
      <c r="BG76" s="78"/>
    </row>
    <row r="77" spans="1:59" x14ac:dyDescent="0.2">
      <c r="A77" s="14" t="s">
        <v>101</v>
      </c>
      <c r="B77" s="36">
        <f t="shared" si="84"/>
        <v>5764347.525192719</v>
      </c>
      <c r="C77" s="29"/>
      <c r="D77" s="77"/>
      <c r="E77" s="77"/>
      <c r="F77" s="78"/>
      <c r="G77" s="87"/>
      <c r="H77" s="29"/>
      <c r="I77" s="77"/>
      <c r="J77" s="77"/>
      <c r="K77" s="77"/>
      <c r="L77" s="77"/>
      <c r="M77" s="78"/>
      <c r="N77" s="29"/>
      <c r="O77" s="77"/>
      <c r="P77" s="77"/>
      <c r="Q77" s="77"/>
      <c r="R77" s="77"/>
      <c r="S77" s="78"/>
      <c r="T77" s="29"/>
      <c r="U77" s="77"/>
      <c r="V77" s="77"/>
      <c r="W77" s="77"/>
      <c r="X77" s="78"/>
      <c r="Y77" s="87"/>
      <c r="Z77" s="29"/>
      <c r="AA77" s="77"/>
      <c r="AB77" s="77"/>
      <c r="AC77" s="78"/>
      <c r="AD77" s="29">
        <f>'Interest Calc'!C26</f>
        <v>5764347.525192719</v>
      </c>
      <c r="AE77" s="78"/>
      <c r="AF77" s="29"/>
      <c r="AG77" s="77"/>
      <c r="AH77" s="77"/>
      <c r="AI77" s="77"/>
      <c r="AJ77" s="77"/>
      <c r="AK77" s="78"/>
      <c r="AL77" s="29"/>
      <c r="AM77" s="77"/>
      <c r="AN77" s="77"/>
      <c r="AO77" s="78"/>
      <c r="AP77" s="29"/>
      <c r="AQ77" s="78"/>
      <c r="AR77" s="29"/>
      <c r="AS77" s="77"/>
      <c r="AT77" s="77"/>
      <c r="AU77" s="77"/>
      <c r="AV77" s="77"/>
      <c r="AW77" s="78"/>
      <c r="AX77" s="29"/>
      <c r="AY77" s="77"/>
      <c r="AZ77" s="77"/>
      <c r="BA77" s="77"/>
      <c r="BB77" s="77"/>
      <c r="BC77" s="78"/>
      <c r="BD77" s="29"/>
      <c r="BE77" s="77"/>
      <c r="BF77" s="77"/>
      <c r="BG77" s="78"/>
    </row>
    <row r="78" spans="1:59" x14ac:dyDescent="0.2">
      <c r="A78" s="14" t="s">
        <v>102</v>
      </c>
      <c r="B78" s="36">
        <f t="shared" si="84"/>
        <v>84202717.107855618</v>
      </c>
      <c r="C78" s="29"/>
      <c r="D78" s="77"/>
      <c r="E78" s="77"/>
      <c r="F78" s="78"/>
      <c r="G78" s="87"/>
      <c r="H78" s="29"/>
      <c r="I78" s="77"/>
      <c r="J78" s="77"/>
      <c r="K78" s="77"/>
      <c r="L78" s="77"/>
      <c r="M78" s="78"/>
      <c r="N78" s="29"/>
      <c r="O78" s="77"/>
      <c r="P78" s="77"/>
      <c r="Q78" s="77"/>
      <c r="R78" s="77"/>
      <c r="S78" s="78"/>
      <c r="T78" s="29"/>
      <c r="U78" s="77"/>
      <c r="V78" s="77"/>
      <c r="W78" s="77"/>
      <c r="X78" s="78">
        <f>'[40]Page 5.5'!$I$25+'[40]Page 5.5'!$I$31</f>
        <v>737.58465057384717</v>
      </c>
      <c r="Y78" s="87"/>
      <c r="Z78" s="29"/>
      <c r="AA78" s="77"/>
      <c r="AB78" s="77">
        <f>'[43]Page 6.4'!$I$31+'[43]Page 6.4'!$I$32+'[43]Page 6.4'!$I$41+'[43]Page 6.4'!$I$42</f>
        <v>75779202.472963661</v>
      </c>
      <c r="AC78" s="78">
        <f>'[37]Page 6.5.5'!$I$26+'[37]Page 6.5.5'!$I$30+'[37]Page 6.5.5'!$I$34</f>
        <v>6974446.9550999776</v>
      </c>
      <c r="AD78" s="29"/>
      <c r="AE78" s="78"/>
      <c r="AF78" s="29"/>
      <c r="AG78" s="77"/>
      <c r="AH78" s="77">
        <f>SUM('[54]Page 7.5'!$I$10:$I$12)</f>
        <v>50236.203922662367</v>
      </c>
      <c r="AI78" s="77"/>
      <c r="AJ78" s="77"/>
      <c r="AK78" s="78"/>
      <c r="AL78" s="29"/>
      <c r="AM78" s="77"/>
      <c r="AN78" s="77"/>
      <c r="AO78" s="78">
        <f>'[51]Page 7.12'!$I$9+SUM('[51]Page 7.12'!$I$14:$I$31)+SUM('[51]Page 7.12.1'!$I$31)</f>
        <v>-16219077.86030608</v>
      </c>
      <c r="AP78" s="29"/>
      <c r="AQ78" s="78">
        <f>'[31]Page 8.2'!$I$25+'[31]Page 8.2'!$I$29+'[31]Page 8.2'!$I$33</f>
        <v>5479581.1735639377</v>
      </c>
      <c r="AR78" s="29"/>
      <c r="AS78" s="77">
        <f>SUM('[52]Page 8.4.1'!$I$10:$I$23,'[52]Page 8.4.2'!$I$21:$I$38)</f>
        <v>-2451890.918377257</v>
      </c>
      <c r="AT78" s="77"/>
      <c r="AU78" s="77"/>
      <c r="AV78" s="77"/>
      <c r="AW78" s="78"/>
      <c r="AX78" s="29"/>
      <c r="AY78" s="77"/>
      <c r="AZ78" s="77"/>
      <c r="BA78" s="77">
        <f>'[45]Page 8.12'!$I$22</f>
        <v>114467.90373025351</v>
      </c>
      <c r="BB78" s="77">
        <f>'[41]Page 8.13'!$I$27</f>
        <v>235794.11311748478</v>
      </c>
      <c r="BC78" s="78">
        <v>13017145.643060798</v>
      </c>
      <c r="BD78" s="29">
        <f>SUM('[33]Pages 9.1 - 9.1.1'!$I$75:$I$79)</f>
        <v>66498.828544574106</v>
      </c>
      <c r="BE78" s="77">
        <f>SUM('[38]Page 9.2.1'!$I$25:$I$27)</f>
        <v>1324840.3183561338</v>
      </c>
      <c r="BF78" s="77">
        <f>'[46]Page 9.3'!$I$34</f>
        <v>-169265.31047110166</v>
      </c>
      <c r="BG78" s="78"/>
    </row>
    <row r="79" spans="1:59" x14ac:dyDescent="0.2">
      <c r="A79" s="14" t="s">
        <v>103</v>
      </c>
      <c r="B79" s="36">
        <f t="shared" si="84"/>
        <v>53396930.176212728</v>
      </c>
      <c r="C79" s="94"/>
      <c r="D79" s="85"/>
      <c r="E79" s="85"/>
      <c r="F79" s="95"/>
      <c r="G79" s="277"/>
      <c r="H79" s="94"/>
      <c r="I79" s="85"/>
      <c r="J79" s="85"/>
      <c r="K79" s="85"/>
      <c r="L79" s="85"/>
      <c r="M79" s="95"/>
      <c r="N79" s="94"/>
      <c r="O79" s="85"/>
      <c r="P79" s="85"/>
      <c r="Q79" s="85"/>
      <c r="R79" s="85"/>
      <c r="S79" s="95"/>
      <c r="T79" s="94"/>
      <c r="U79" s="85"/>
      <c r="V79" s="85"/>
      <c r="W79" s="85"/>
      <c r="X79" s="95">
        <f>'[40]Page 5.5'!$I$26</f>
        <v>104137.64039409981</v>
      </c>
      <c r="Y79" s="277"/>
      <c r="Z79" s="94"/>
      <c r="AA79" s="85"/>
      <c r="AB79" s="85"/>
      <c r="AC79" s="95"/>
      <c r="AD79" s="94"/>
      <c r="AE79" s="95"/>
      <c r="AF79" s="94"/>
      <c r="AG79" s="85"/>
      <c r="AH79" s="85">
        <f>SUM('[54]Page 7.5'!$I$15:$I$18)</f>
        <v>599115.28336767084</v>
      </c>
      <c r="AI79" s="85"/>
      <c r="AJ79" s="85"/>
      <c r="AK79" s="95"/>
      <c r="AL79" s="94"/>
      <c r="AM79" s="85"/>
      <c r="AN79" s="85"/>
      <c r="AO79" s="95">
        <f>SUM('[51]Page 7.12.1'!$I$32)</f>
        <v>17920124.609870076</v>
      </c>
      <c r="AP79" s="94"/>
      <c r="AQ79" s="95"/>
      <c r="AR79" s="94"/>
      <c r="AS79" s="85">
        <f>SUM('[52]Page 8.4.1'!$I$25:$I$38)</f>
        <v>4030075.1798258587</v>
      </c>
      <c r="AT79" s="85"/>
      <c r="AU79" s="85">
        <f>'[44]Page 8.6'!$I$13</f>
        <v>208716</v>
      </c>
      <c r="AV79" s="85"/>
      <c r="AW79" s="95"/>
      <c r="AX79" s="94"/>
      <c r="AY79" s="85"/>
      <c r="AZ79" s="85"/>
      <c r="BA79" s="85">
        <f>'[45]Page 8.12'!$I$23</f>
        <v>3247671.0408995287</v>
      </c>
      <c r="BB79" s="85">
        <f>'[41]Page 8.13'!$I$28</f>
        <v>27932611.43300163</v>
      </c>
      <c r="BC79" s="95"/>
      <c r="BD79" s="94">
        <f>SUM('[33]Pages 9.1 - 9.1.1'!$I$80:$I$84)</f>
        <v>-682791.68715219037</v>
      </c>
      <c r="BE79" s="85">
        <f>SUM('[38]Page 9.2.1'!$I$29:$I$31)</f>
        <v>-34891.990770717355</v>
      </c>
      <c r="BF79" s="85">
        <f>'[46]Page 9.3'!$I$39</f>
        <v>72162.666776776779</v>
      </c>
      <c r="BG79" s="95"/>
    </row>
    <row r="80" spans="1:59" x14ac:dyDescent="0.2">
      <c r="A80" s="14" t="s">
        <v>104</v>
      </c>
      <c r="B80" s="271">
        <f t="shared" si="84"/>
        <v>-42244216.328985602</v>
      </c>
      <c r="C80" s="161">
        <f t="shared" ref="C80:BB80" si="85">C74-C76-C77+C78-C79</f>
        <v>0</v>
      </c>
      <c r="D80" s="13">
        <f t="shared" si="85"/>
        <v>0</v>
      </c>
      <c r="E80" s="13">
        <f t="shared" si="85"/>
        <v>167914.72285031062</v>
      </c>
      <c r="F80" s="162">
        <f t="shared" si="85"/>
        <v>456610.92888002045</v>
      </c>
      <c r="G80" s="278">
        <f t="shared" si="85"/>
        <v>0</v>
      </c>
      <c r="H80" s="161">
        <f t="shared" si="85"/>
        <v>0</v>
      </c>
      <c r="I80" s="13">
        <f t="shared" si="85"/>
        <v>-1272028.0928324289</v>
      </c>
      <c r="J80" s="13">
        <f t="shared" si="85"/>
        <v>-113016.3258421895</v>
      </c>
      <c r="K80" s="13">
        <f t="shared" si="85"/>
        <v>0</v>
      </c>
      <c r="L80" s="13">
        <f t="shared" si="85"/>
        <v>0</v>
      </c>
      <c r="M80" s="162">
        <f t="shared" si="85"/>
        <v>0</v>
      </c>
      <c r="N80" s="161">
        <f t="shared" si="85"/>
        <v>0</v>
      </c>
      <c r="O80" s="13">
        <f t="shared" si="85"/>
        <v>-1305645.921588074</v>
      </c>
      <c r="P80" s="13">
        <f t="shared" si="85"/>
        <v>0</v>
      </c>
      <c r="Q80" s="13">
        <f t="shared" si="85"/>
        <v>0</v>
      </c>
      <c r="R80" s="13">
        <f t="shared" si="85"/>
        <v>0</v>
      </c>
      <c r="S80" s="162">
        <f t="shared" si="85"/>
        <v>-113439.8637210716</v>
      </c>
      <c r="T80" s="161">
        <f t="shared" ref="T80:U80" si="86">T74-T76-T77+T78-T79</f>
        <v>0</v>
      </c>
      <c r="U80" s="13">
        <f t="shared" si="86"/>
        <v>3268009.2120065186</v>
      </c>
      <c r="V80" s="13">
        <f t="shared" si="85"/>
        <v>0</v>
      </c>
      <c r="W80" s="13">
        <f t="shared" ref="W80:X80" si="87">W74-W76-W77+W78-W79</f>
        <v>-160000</v>
      </c>
      <c r="X80" s="162">
        <f t="shared" si="87"/>
        <v>-143193.16109395723</v>
      </c>
      <c r="Y80" s="278">
        <f t="shared" si="85"/>
        <v>2451890.9183772579</v>
      </c>
      <c r="Z80" s="161">
        <f t="shared" si="85"/>
        <v>0</v>
      </c>
      <c r="AA80" s="13">
        <f t="shared" si="85"/>
        <v>0</v>
      </c>
      <c r="AB80" s="13">
        <f t="shared" si="85"/>
        <v>0</v>
      </c>
      <c r="AC80" s="162">
        <f t="shared" ref="AC80" si="88">AC74-AC76-AC77+AC78-AC79</f>
        <v>4299342.4922575969</v>
      </c>
      <c r="AD80" s="161">
        <f t="shared" si="85"/>
        <v>-5764347.525192719</v>
      </c>
      <c r="AE80" s="162">
        <f t="shared" si="85"/>
        <v>-2141949</v>
      </c>
      <c r="AF80" s="161">
        <f t="shared" si="85"/>
        <v>0</v>
      </c>
      <c r="AG80" s="13">
        <f t="shared" si="85"/>
        <v>0</v>
      </c>
      <c r="AH80" s="13">
        <f t="shared" si="85"/>
        <v>-548879.07944500842</v>
      </c>
      <c r="AI80" s="13">
        <f t="shared" si="85"/>
        <v>0</v>
      </c>
      <c r="AJ80" s="13">
        <f t="shared" si="85"/>
        <v>0</v>
      </c>
      <c r="AK80" s="162">
        <f t="shared" si="85"/>
        <v>0</v>
      </c>
      <c r="AL80" s="161">
        <f t="shared" si="85"/>
        <v>3308</v>
      </c>
      <c r="AM80" s="13">
        <f t="shared" ref="AM80:AO80" si="89">AM74-AM76-AM77+AM78-AM79</f>
        <v>-180412.60365467297</v>
      </c>
      <c r="AN80" s="13">
        <f t="shared" si="89"/>
        <v>0</v>
      </c>
      <c r="AO80" s="162">
        <f t="shared" si="89"/>
        <v>-34139202.47017616</v>
      </c>
      <c r="AP80" s="161">
        <f t="shared" si="85"/>
        <v>0</v>
      </c>
      <c r="AQ80" s="162">
        <f t="shared" si="85"/>
        <v>22272450.740000028</v>
      </c>
      <c r="AR80" s="161">
        <f t="shared" si="85"/>
        <v>0</v>
      </c>
      <c r="AS80" s="13">
        <f t="shared" si="85"/>
        <v>-6481966.0982031152</v>
      </c>
      <c r="AT80" s="13">
        <f t="shared" ref="AT80" si="90">AT74-AT76-AT77+AT78-AT79</f>
        <v>0</v>
      </c>
      <c r="AU80" s="13">
        <f t="shared" si="85"/>
        <v>0</v>
      </c>
      <c r="AV80" s="13">
        <f t="shared" si="85"/>
        <v>0</v>
      </c>
      <c r="AW80" s="162">
        <f t="shared" si="85"/>
        <v>0</v>
      </c>
      <c r="AX80" s="161">
        <f t="shared" si="85"/>
        <v>0</v>
      </c>
      <c r="AY80" s="13">
        <f t="shared" si="85"/>
        <v>0</v>
      </c>
      <c r="AZ80" s="13">
        <f t="shared" si="85"/>
        <v>0</v>
      </c>
      <c r="BA80" s="13">
        <f t="shared" si="85"/>
        <v>-2727320.8230915512</v>
      </c>
      <c r="BB80" s="13">
        <f t="shared" si="85"/>
        <v>-29489921.829844322</v>
      </c>
      <c r="BC80" s="162">
        <f t="shared" ref="BC80" si="91">BC74-BC76-BC77+BC78-BC79</f>
        <v>0</v>
      </c>
      <c r="BD80" s="161">
        <f t="shared" ref="BD80:BG80" si="92">BD74-BD76-BD77+BD78-BD79</f>
        <v>3054375.0424429644</v>
      </c>
      <c r="BE80" s="13">
        <f t="shared" si="92"/>
        <v>6525410.0106512597</v>
      </c>
      <c r="BF80" s="13">
        <f t="shared" si="92"/>
        <v>-392771.25570414984</v>
      </c>
      <c r="BG80" s="162">
        <f t="shared" si="92"/>
        <v>230565.65393785876</v>
      </c>
    </row>
    <row r="81" spans="1:59" x14ac:dyDescent="0.2">
      <c r="A81" s="14"/>
      <c r="B81" s="28"/>
      <c r="C81" s="28"/>
      <c r="D81" s="12"/>
      <c r="E81" s="12"/>
      <c r="F81" s="75"/>
      <c r="G81" s="76"/>
      <c r="H81" s="28"/>
      <c r="I81" s="12"/>
      <c r="J81" s="12"/>
      <c r="K81" s="12"/>
      <c r="L81" s="12"/>
      <c r="M81" s="75"/>
      <c r="N81" s="28"/>
      <c r="O81" s="12"/>
      <c r="P81" s="12"/>
      <c r="Q81" s="12"/>
      <c r="R81" s="12"/>
      <c r="S81" s="75"/>
      <c r="T81" s="28"/>
      <c r="U81" s="12"/>
      <c r="V81" s="12"/>
      <c r="W81" s="12"/>
      <c r="X81" s="75"/>
      <c r="Y81" s="76"/>
      <c r="Z81" s="28"/>
      <c r="AA81" s="12"/>
      <c r="AB81" s="12"/>
      <c r="AC81" s="75"/>
      <c r="AD81" s="28"/>
      <c r="AE81" s="75"/>
      <c r="AF81" s="28"/>
      <c r="AG81" s="12"/>
      <c r="AH81" s="12"/>
      <c r="AI81" s="12"/>
      <c r="AJ81" s="12"/>
      <c r="AK81" s="75"/>
      <c r="AL81" s="28"/>
      <c r="AM81" s="12"/>
      <c r="AN81" s="12"/>
      <c r="AO81" s="75"/>
      <c r="AP81" s="28"/>
      <c r="AQ81" s="75"/>
      <c r="AR81" s="28"/>
      <c r="AS81" s="12"/>
      <c r="AT81" s="12"/>
      <c r="AU81" s="12"/>
      <c r="AV81" s="12"/>
      <c r="AW81" s="75"/>
      <c r="AX81" s="28"/>
      <c r="AY81" s="12"/>
      <c r="AZ81" s="12"/>
      <c r="BA81" s="12"/>
      <c r="BB81" s="12"/>
      <c r="BC81" s="75"/>
      <c r="BD81" s="28"/>
      <c r="BE81" s="12"/>
      <c r="BF81" s="12"/>
      <c r="BG81" s="75"/>
    </row>
    <row r="82" spans="1:59" x14ac:dyDescent="0.2">
      <c r="A82" s="14" t="s">
        <v>105</v>
      </c>
      <c r="B82" s="37">
        <f t="shared" ref="B82:B83" si="93">SUM(C82:BG82)</f>
        <v>0</v>
      </c>
      <c r="C82" s="28">
        <v>0</v>
      </c>
      <c r="D82" s="12">
        <v>0</v>
      </c>
      <c r="E82" s="12">
        <v>0</v>
      </c>
      <c r="F82" s="75">
        <v>0</v>
      </c>
      <c r="G82" s="76">
        <v>0</v>
      </c>
      <c r="H82" s="28">
        <v>0</v>
      </c>
      <c r="I82" s="12">
        <v>0</v>
      </c>
      <c r="J82" s="12">
        <v>0</v>
      </c>
      <c r="K82" s="12">
        <v>0</v>
      </c>
      <c r="L82" s="12">
        <v>0</v>
      </c>
      <c r="M82" s="75">
        <v>0</v>
      </c>
      <c r="N82" s="28">
        <v>0</v>
      </c>
      <c r="O82" s="12">
        <v>0</v>
      </c>
      <c r="P82" s="12">
        <v>0</v>
      </c>
      <c r="Q82" s="12">
        <v>0</v>
      </c>
      <c r="R82" s="12">
        <v>0</v>
      </c>
      <c r="S82" s="75">
        <v>0</v>
      </c>
      <c r="T82" s="28">
        <v>0</v>
      </c>
      <c r="U82" s="12">
        <v>0</v>
      </c>
      <c r="V82" s="12">
        <v>0</v>
      </c>
      <c r="W82" s="12">
        <v>0</v>
      </c>
      <c r="X82" s="75">
        <v>0</v>
      </c>
      <c r="Y82" s="76">
        <v>0</v>
      </c>
      <c r="Z82" s="28">
        <v>0</v>
      </c>
      <c r="AA82" s="12">
        <v>0</v>
      </c>
      <c r="AB82" s="12">
        <v>0</v>
      </c>
      <c r="AC82" s="75">
        <v>0</v>
      </c>
      <c r="AD82" s="28">
        <v>0</v>
      </c>
      <c r="AE82" s="75">
        <v>0</v>
      </c>
      <c r="AF82" s="28">
        <v>0</v>
      </c>
      <c r="AG82" s="12">
        <v>0</v>
      </c>
      <c r="AH82" s="12">
        <v>0</v>
      </c>
      <c r="AI82" s="12">
        <v>0</v>
      </c>
      <c r="AJ82" s="12">
        <v>0</v>
      </c>
      <c r="AK82" s="75">
        <v>0</v>
      </c>
      <c r="AL82" s="28">
        <v>0</v>
      </c>
      <c r="AM82" s="12">
        <v>0</v>
      </c>
      <c r="AN82" s="12">
        <v>0</v>
      </c>
      <c r="AO82" s="75">
        <v>0</v>
      </c>
      <c r="AP82" s="28">
        <v>0</v>
      </c>
      <c r="AQ82" s="75">
        <v>0</v>
      </c>
      <c r="AR82" s="28">
        <v>0</v>
      </c>
      <c r="AS82" s="12">
        <v>0</v>
      </c>
      <c r="AT82" s="12">
        <v>0</v>
      </c>
      <c r="AU82" s="12">
        <v>0</v>
      </c>
      <c r="AV82" s="12">
        <v>0</v>
      </c>
      <c r="AW82" s="75">
        <v>0</v>
      </c>
      <c r="AX82" s="28">
        <v>0</v>
      </c>
      <c r="AY82" s="12">
        <v>0</v>
      </c>
      <c r="AZ82" s="12">
        <v>0</v>
      </c>
      <c r="BA82" s="12">
        <v>0</v>
      </c>
      <c r="BB82" s="12">
        <v>0</v>
      </c>
      <c r="BC82" s="75">
        <v>0</v>
      </c>
      <c r="BD82" s="28">
        <v>0</v>
      </c>
      <c r="BE82" s="12">
        <v>0</v>
      </c>
      <c r="BF82" s="12">
        <v>0</v>
      </c>
      <c r="BG82" s="75">
        <v>0</v>
      </c>
    </row>
    <row r="83" spans="1:59" x14ac:dyDescent="0.2">
      <c r="A83" s="14" t="s">
        <v>106</v>
      </c>
      <c r="B83" s="37">
        <f t="shared" si="93"/>
        <v>-42244216.328985602</v>
      </c>
      <c r="C83" s="28">
        <f>C80-C82</f>
        <v>0</v>
      </c>
      <c r="D83" s="12">
        <f t="shared" ref="D83:BB83" si="94">D80-D82</f>
        <v>0</v>
      </c>
      <c r="E83" s="12">
        <f t="shared" si="94"/>
        <v>167914.72285031062</v>
      </c>
      <c r="F83" s="75">
        <f t="shared" si="94"/>
        <v>456610.92888002045</v>
      </c>
      <c r="G83" s="76">
        <f t="shared" si="94"/>
        <v>0</v>
      </c>
      <c r="H83" s="28">
        <f t="shared" si="94"/>
        <v>0</v>
      </c>
      <c r="I83" s="12">
        <f t="shared" si="94"/>
        <v>-1272028.0928324289</v>
      </c>
      <c r="J83" s="12">
        <f t="shared" si="94"/>
        <v>-113016.3258421895</v>
      </c>
      <c r="K83" s="12">
        <f t="shared" si="94"/>
        <v>0</v>
      </c>
      <c r="L83" s="12">
        <f t="shared" si="94"/>
        <v>0</v>
      </c>
      <c r="M83" s="75">
        <f t="shared" si="94"/>
        <v>0</v>
      </c>
      <c r="N83" s="28">
        <f t="shared" si="94"/>
        <v>0</v>
      </c>
      <c r="O83" s="12">
        <f t="shared" si="94"/>
        <v>-1305645.921588074</v>
      </c>
      <c r="P83" s="12">
        <f t="shared" si="94"/>
        <v>0</v>
      </c>
      <c r="Q83" s="12">
        <f t="shared" si="94"/>
        <v>0</v>
      </c>
      <c r="R83" s="12">
        <f t="shared" si="94"/>
        <v>0</v>
      </c>
      <c r="S83" s="75">
        <f t="shared" si="94"/>
        <v>-113439.8637210716</v>
      </c>
      <c r="T83" s="28">
        <f t="shared" ref="T83:U83" si="95">T80-T82</f>
        <v>0</v>
      </c>
      <c r="U83" s="12">
        <f t="shared" si="95"/>
        <v>3268009.2120065186</v>
      </c>
      <c r="V83" s="12">
        <f t="shared" si="94"/>
        <v>0</v>
      </c>
      <c r="W83" s="12">
        <f t="shared" ref="W83:X83" si="96">W80-W82</f>
        <v>-160000</v>
      </c>
      <c r="X83" s="75">
        <f t="shared" si="96"/>
        <v>-143193.16109395723</v>
      </c>
      <c r="Y83" s="76">
        <f t="shared" si="94"/>
        <v>2451890.9183772579</v>
      </c>
      <c r="Z83" s="28">
        <f t="shared" si="94"/>
        <v>0</v>
      </c>
      <c r="AA83" s="12">
        <f t="shared" si="94"/>
        <v>0</v>
      </c>
      <c r="AB83" s="12">
        <f t="shared" si="94"/>
        <v>0</v>
      </c>
      <c r="AC83" s="75">
        <f t="shared" ref="AC83" si="97">AC80-AC82</f>
        <v>4299342.4922575969</v>
      </c>
      <c r="AD83" s="28">
        <f t="shared" si="94"/>
        <v>-5764347.525192719</v>
      </c>
      <c r="AE83" s="75">
        <f t="shared" si="94"/>
        <v>-2141949</v>
      </c>
      <c r="AF83" s="28">
        <f t="shared" si="94"/>
        <v>0</v>
      </c>
      <c r="AG83" s="12">
        <f t="shared" si="94"/>
        <v>0</v>
      </c>
      <c r="AH83" s="12">
        <f t="shared" si="94"/>
        <v>-548879.07944500842</v>
      </c>
      <c r="AI83" s="12">
        <f t="shared" si="94"/>
        <v>0</v>
      </c>
      <c r="AJ83" s="12">
        <f t="shared" si="94"/>
        <v>0</v>
      </c>
      <c r="AK83" s="75">
        <f t="shared" si="94"/>
        <v>0</v>
      </c>
      <c r="AL83" s="28">
        <f t="shared" si="94"/>
        <v>3308</v>
      </c>
      <c r="AM83" s="12">
        <f t="shared" ref="AM83:AO83" si="98">AM80-AM82</f>
        <v>-180412.60365467297</v>
      </c>
      <c r="AN83" s="12">
        <f t="shared" si="98"/>
        <v>0</v>
      </c>
      <c r="AO83" s="75">
        <f t="shared" si="98"/>
        <v>-34139202.47017616</v>
      </c>
      <c r="AP83" s="28">
        <f t="shared" si="94"/>
        <v>0</v>
      </c>
      <c r="AQ83" s="75">
        <f t="shared" si="94"/>
        <v>22272450.740000028</v>
      </c>
      <c r="AR83" s="28">
        <f t="shared" si="94"/>
        <v>0</v>
      </c>
      <c r="AS83" s="12">
        <f t="shared" si="94"/>
        <v>-6481966.0982031152</v>
      </c>
      <c r="AT83" s="12">
        <f t="shared" ref="AT83" si="99">AT80-AT82</f>
        <v>0</v>
      </c>
      <c r="AU83" s="12">
        <f t="shared" si="94"/>
        <v>0</v>
      </c>
      <c r="AV83" s="12">
        <f t="shared" si="94"/>
        <v>0</v>
      </c>
      <c r="AW83" s="75">
        <f t="shared" si="94"/>
        <v>0</v>
      </c>
      <c r="AX83" s="28">
        <f t="shared" si="94"/>
        <v>0</v>
      </c>
      <c r="AY83" s="12">
        <f t="shared" si="94"/>
        <v>0</v>
      </c>
      <c r="AZ83" s="12">
        <f t="shared" si="94"/>
        <v>0</v>
      </c>
      <c r="BA83" s="12">
        <f t="shared" si="94"/>
        <v>-2727320.8230915512</v>
      </c>
      <c r="BB83" s="12">
        <f t="shared" si="94"/>
        <v>-29489921.829844322</v>
      </c>
      <c r="BC83" s="75">
        <f t="shared" ref="BC83" si="100">BC80-BC82</f>
        <v>0</v>
      </c>
      <c r="BD83" s="28">
        <f t="shared" ref="BD83:BG83" si="101">BD80-BD82</f>
        <v>3054375.0424429644</v>
      </c>
      <c r="BE83" s="12">
        <f t="shared" si="101"/>
        <v>6525410.0106512597</v>
      </c>
      <c r="BF83" s="12">
        <f t="shared" si="101"/>
        <v>-392771.25570414984</v>
      </c>
      <c r="BG83" s="75">
        <f t="shared" si="101"/>
        <v>230565.65393785876</v>
      </c>
    </row>
    <row r="84" spans="1:59" x14ac:dyDescent="0.2">
      <c r="A84" s="14"/>
      <c r="B84" s="37"/>
      <c r="C84" s="28"/>
      <c r="D84" s="12"/>
      <c r="E84" s="12"/>
      <c r="F84" s="75"/>
      <c r="G84" s="76"/>
      <c r="H84" s="28"/>
      <c r="I84" s="12"/>
      <c r="J84" s="12"/>
      <c r="K84" s="12"/>
      <c r="L84" s="12"/>
      <c r="M84" s="75"/>
      <c r="N84" s="28"/>
      <c r="O84" s="12"/>
      <c r="P84" s="12"/>
      <c r="Q84" s="12"/>
      <c r="R84" s="12"/>
      <c r="S84" s="75"/>
      <c r="T84" s="28"/>
      <c r="U84" s="12"/>
      <c r="V84" s="12"/>
      <c r="W84" s="12"/>
      <c r="X84" s="75"/>
      <c r="Y84" s="76"/>
      <c r="Z84" s="28"/>
      <c r="AA84" s="12"/>
      <c r="AB84" s="12"/>
      <c r="AC84" s="75"/>
      <c r="AD84" s="28"/>
      <c r="AE84" s="75"/>
      <c r="AF84" s="28"/>
      <c r="AG84" s="12"/>
      <c r="AH84" s="12"/>
      <c r="AI84" s="12"/>
      <c r="AJ84" s="12"/>
      <c r="AK84" s="75"/>
      <c r="AL84" s="28"/>
      <c r="AM84" s="12"/>
      <c r="AN84" s="12"/>
      <c r="AO84" s="75"/>
      <c r="AP84" s="28"/>
      <c r="AQ84" s="75"/>
      <c r="AR84" s="28"/>
      <c r="AS84" s="12"/>
      <c r="AT84" s="12"/>
      <c r="AU84" s="12"/>
      <c r="AV84" s="12"/>
      <c r="AW84" s="75"/>
      <c r="AX84" s="28"/>
      <c r="AY84" s="12"/>
      <c r="AZ84" s="12"/>
      <c r="BA84" s="12"/>
      <c r="BB84" s="12"/>
      <c r="BC84" s="75"/>
      <c r="BD84" s="28"/>
      <c r="BE84" s="12"/>
      <c r="BF84" s="12"/>
      <c r="BG84" s="75"/>
    </row>
    <row r="85" spans="1:59" x14ac:dyDescent="0.2">
      <c r="A85" s="14" t="s">
        <v>131</v>
      </c>
      <c r="B85" s="37">
        <f t="shared" ref="B85:B87" si="102">SUM(C85:BG85)</f>
        <v>-8871285.4290869758</v>
      </c>
      <c r="C85" s="28">
        <f>C83*0.21</f>
        <v>0</v>
      </c>
      <c r="D85" s="12">
        <f t="shared" ref="D85:BB85" si="103">D83*0.21</f>
        <v>0</v>
      </c>
      <c r="E85" s="12">
        <f t="shared" si="103"/>
        <v>35262.091798565227</v>
      </c>
      <c r="F85" s="75">
        <f t="shared" si="103"/>
        <v>95888.29506480429</v>
      </c>
      <c r="G85" s="76">
        <f t="shared" si="103"/>
        <v>0</v>
      </c>
      <c r="H85" s="28">
        <f t="shared" si="103"/>
        <v>0</v>
      </c>
      <c r="I85" s="12">
        <f t="shared" si="103"/>
        <v>-267125.89949481003</v>
      </c>
      <c r="J85" s="12">
        <f t="shared" si="103"/>
        <v>-23733.428426859795</v>
      </c>
      <c r="K85" s="12">
        <f t="shared" si="103"/>
        <v>0</v>
      </c>
      <c r="L85" s="12">
        <f t="shared" si="103"/>
        <v>0</v>
      </c>
      <c r="M85" s="75">
        <f t="shared" si="103"/>
        <v>0</v>
      </c>
      <c r="N85" s="28">
        <f t="shared" si="103"/>
        <v>0</v>
      </c>
      <c r="O85" s="12">
        <f t="shared" si="103"/>
        <v>-274185.64353349555</v>
      </c>
      <c r="P85" s="12">
        <f t="shared" si="103"/>
        <v>0</v>
      </c>
      <c r="Q85" s="12">
        <f t="shared" si="103"/>
        <v>0</v>
      </c>
      <c r="R85" s="12">
        <f t="shared" si="103"/>
        <v>0</v>
      </c>
      <c r="S85" s="75">
        <f t="shared" si="103"/>
        <v>-23822.371381425033</v>
      </c>
      <c r="T85" s="28">
        <f t="shared" ref="T85:U85" si="104">T83*0.21</f>
        <v>0</v>
      </c>
      <c r="U85" s="12">
        <f t="shared" si="104"/>
        <v>686281.93452136894</v>
      </c>
      <c r="V85" s="12">
        <f t="shared" si="103"/>
        <v>0</v>
      </c>
      <c r="W85" s="12">
        <f t="shared" ref="W85:X85" si="105">W83*0.21</f>
        <v>-33600</v>
      </c>
      <c r="X85" s="75">
        <f t="shared" si="105"/>
        <v>-30070.563829731018</v>
      </c>
      <c r="Y85" s="76">
        <f t="shared" si="103"/>
        <v>514897.09285922413</v>
      </c>
      <c r="Z85" s="28">
        <f t="shared" si="103"/>
        <v>0</v>
      </c>
      <c r="AA85" s="12">
        <f t="shared" si="103"/>
        <v>0</v>
      </c>
      <c r="AB85" s="12">
        <f t="shared" si="103"/>
        <v>0</v>
      </c>
      <c r="AC85" s="75">
        <f t="shared" ref="AC85" si="106">AC83*0.21</f>
        <v>902861.92337409535</v>
      </c>
      <c r="AD85" s="28">
        <f t="shared" si="103"/>
        <v>-1210512.9802904709</v>
      </c>
      <c r="AE85" s="75">
        <f t="shared" si="103"/>
        <v>-449809.29</v>
      </c>
      <c r="AF85" s="28">
        <f t="shared" si="103"/>
        <v>0</v>
      </c>
      <c r="AG85" s="12">
        <f t="shared" si="103"/>
        <v>0</v>
      </c>
      <c r="AH85" s="12">
        <f t="shared" si="103"/>
        <v>-115264.60668345177</v>
      </c>
      <c r="AI85" s="12">
        <f t="shared" si="103"/>
        <v>0</v>
      </c>
      <c r="AJ85" s="12">
        <f t="shared" si="103"/>
        <v>0</v>
      </c>
      <c r="AK85" s="75">
        <f t="shared" si="103"/>
        <v>0</v>
      </c>
      <c r="AL85" s="28">
        <f t="shared" si="103"/>
        <v>694.68</v>
      </c>
      <c r="AM85" s="12">
        <f t="shared" ref="AM85:AO85" si="107">AM83*0.21</f>
        <v>-37886.646767481325</v>
      </c>
      <c r="AN85" s="12">
        <f t="shared" si="107"/>
        <v>0</v>
      </c>
      <c r="AO85" s="75">
        <f t="shared" si="107"/>
        <v>-7169232.518736993</v>
      </c>
      <c r="AP85" s="28">
        <f t="shared" si="103"/>
        <v>0</v>
      </c>
      <c r="AQ85" s="75">
        <f t="shared" si="103"/>
        <v>4677214.6554000061</v>
      </c>
      <c r="AR85" s="28">
        <f t="shared" si="103"/>
        <v>0</v>
      </c>
      <c r="AS85" s="12">
        <f t="shared" si="103"/>
        <v>-1361212.8806226542</v>
      </c>
      <c r="AT85" s="12">
        <f t="shared" si="103"/>
        <v>0</v>
      </c>
      <c r="AU85" s="12">
        <f t="shared" si="103"/>
        <v>0</v>
      </c>
      <c r="AV85" s="12">
        <f t="shared" si="103"/>
        <v>0</v>
      </c>
      <c r="AW85" s="75">
        <f t="shared" si="103"/>
        <v>0</v>
      </c>
      <c r="AX85" s="28">
        <f t="shared" si="103"/>
        <v>0</v>
      </c>
      <c r="AY85" s="12">
        <f t="shared" si="103"/>
        <v>0</v>
      </c>
      <c r="AZ85" s="12">
        <f t="shared" si="103"/>
        <v>0</v>
      </c>
      <c r="BA85" s="12">
        <f t="shared" si="103"/>
        <v>-572737.37284922577</v>
      </c>
      <c r="BB85" s="12">
        <f t="shared" si="103"/>
        <v>-6192883.5842673071</v>
      </c>
      <c r="BC85" s="75">
        <f t="shared" ref="BC85" si="108">BC83*0.21</f>
        <v>0</v>
      </c>
      <c r="BD85" s="28">
        <f t="shared" ref="BD85:BG85" si="109">BD83*0.21</f>
        <v>641418.75891302247</v>
      </c>
      <c r="BE85" s="12">
        <f t="shared" si="109"/>
        <v>1370336.1022367645</v>
      </c>
      <c r="BF85" s="12">
        <f t="shared" si="109"/>
        <v>-82481.96369787147</v>
      </c>
      <c r="BG85" s="75">
        <f t="shared" si="109"/>
        <v>48418.78732695034</v>
      </c>
    </row>
    <row r="86" spans="1:59" x14ac:dyDescent="0.2">
      <c r="A86" s="14" t="s">
        <v>132</v>
      </c>
      <c r="B86" s="37">
        <f t="shared" si="102"/>
        <v>-14008794.664235296</v>
      </c>
      <c r="C86" s="28"/>
      <c r="D86" s="12"/>
      <c r="E86" s="12"/>
      <c r="F86" s="75"/>
      <c r="G86" s="76"/>
      <c r="H86" s="28"/>
      <c r="I86" s="12"/>
      <c r="J86" s="12"/>
      <c r="K86" s="12"/>
      <c r="L86" s="12"/>
      <c r="M86" s="75"/>
      <c r="N86" s="28"/>
      <c r="O86" s="12"/>
      <c r="P86" s="12"/>
      <c r="Q86" s="12"/>
      <c r="R86" s="12"/>
      <c r="S86" s="75"/>
      <c r="T86" s="28"/>
      <c r="U86" s="12"/>
      <c r="V86" s="12"/>
      <c r="W86" s="12"/>
      <c r="X86" s="75"/>
      <c r="Y86" s="76"/>
      <c r="Z86" s="28"/>
      <c r="AA86" s="12"/>
      <c r="AB86" s="12"/>
      <c r="AC86" s="75"/>
      <c r="AD86" s="28"/>
      <c r="AE86" s="75"/>
      <c r="AF86" s="28">
        <f>'[55]Page 7.3'!$H$10+'[55]Page 7.3'!$H$13</f>
        <v>-14008794.664235296</v>
      </c>
      <c r="AG86" s="12"/>
      <c r="AH86" s="12"/>
      <c r="AI86" s="12"/>
      <c r="AJ86" s="12"/>
      <c r="AK86" s="75"/>
      <c r="AL86" s="28"/>
      <c r="AM86" s="12"/>
      <c r="AN86" s="12"/>
      <c r="AO86" s="75"/>
      <c r="AP86" s="28"/>
      <c r="AQ86" s="75"/>
      <c r="AR86" s="28"/>
      <c r="AS86" s="12"/>
      <c r="AT86" s="12"/>
      <c r="AU86" s="12"/>
      <c r="AV86" s="12"/>
      <c r="AW86" s="75"/>
      <c r="AX86" s="28"/>
      <c r="AY86" s="12"/>
      <c r="AZ86" s="12"/>
      <c r="BA86" s="12"/>
      <c r="BB86" s="12"/>
      <c r="BC86" s="75"/>
      <c r="BD86" s="28"/>
      <c r="BE86" s="12"/>
      <c r="BF86" s="12"/>
      <c r="BG86" s="75"/>
    </row>
    <row r="87" spans="1:59" s="2" customFormat="1" ht="13.5" thickBot="1" x14ac:dyDescent="0.25">
      <c r="A87" s="14" t="s">
        <v>133</v>
      </c>
      <c r="B87" s="272">
        <f t="shared" si="102"/>
        <v>-22880080.093322273</v>
      </c>
      <c r="C87" s="98">
        <f>C85+C86</f>
        <v>0</v>
      </c>
      <c r="D87" s="96">
        <f t="shared" ref="D87:BB87" si="110">D85+D86</f>
        <v>0</v>
      </c>
      <c r="E87" s="96">
        <f t="shared" si="110"/>
        <v>35262.091798565227</v>
      </c>
      <c r="F87" s="97">
        <f t="shared" si="110"/>
        <v>95888.29506480429</v>
      </c>
      <c r="G87" s="279">
        <f t="shared" si="110"/>
        <v>0</v>
      </c>
      <c r="H87" s="98">
        <f t="shared" si="110"/>
        <v>0</v>
      </c>
      <c r="I87" s="96">
        <f t="shared" si="110"/>
        <v>-267125.89949481003</v>
      </c>
      <c r="J87" s="96">
        <f t="shared" si="110"/>
        <v>-23733.428426859795</v>
      </c>
      <c r="K87" s="96">
        <f t="shared" si="110"/>
        <v>0</v>
      </c>
      <c r="L87" s="96">
        <f t="shared" si="110"/>
        <v>0</v>
      </c>
      <c r="M87" s="97">
        <f t="shared" si="110"/>
        <v>0</v>
      </c>
      <c r="N87" s="98">
        <f t="shared" si="110"/>
        <v>0</v>
      </c>
      <c r="O87" s="96">
        <f t="shared" si="110"/>
        <v>-274185.64353349555</v>
      </c>
      <c r="P87" s="96">
        <f t="shared" si="110"/>
        <v>0</v>
      </c>
      <c r="Q87" s="96">
        <f t="shared" si="110"/>
        <v>0</v>
      </c>
      <c r="R87" s="96">
        <f t="shared" si="110"/>
        <v>0</v>
      </c>
      <c r="S87" s="97">
        <f t="shared" si="110"/>
        <v>-23822.371381425033</v>
      </c>
      <c r="T87" s="98">
        <f t="shared" ref="T87:U87" si="111">T85+T86</f>
        <v>0</v>
      </c>
      <c r="U87" s="96">
        <f t="shared" si="111"/>
        <v>686281.93452136894</v>
      </c>
      <c r="V87" s="96">
        <f t="shared" si="110"/>
        <v>0</v>
      </c>
      <c r="W87" s="96">
        <f t="shared" ref="W87:X87" si="112">W85+W86</f>
        <v>-33600</v>
      </c>
      <c r="X87" s="97">
        <f t="shared" si="112"/>
        <v>-30070.563829731018</v>
      </c>
      <c r="Y87" s="279">
        <f t="shared" si="110"/>
        <v>514897.09285922413</v>
      </c>
      <c r="Z87" s="98">
        <f t="shared" si="110"/>
        <v>0</v>
      </c>
      <c r="AA87" s="96">
        <f t="shared" si="110"/>
        <v>0</v>
      </c>
      <c r="AB87" s="96">
        <f t="shared" si="110"/>
        <v>0</v>
      </c>
      <c r="AC87" s="97">
        <f t="shared" ref="AC87" si="113">AC85+AC86</f>
        <v>902861.92337409535</v>
      </c>
      <c r="AD87" s="98">
        <f t="shared" si="110"/>
        <v>-1210512.9802904709</v>
      </c>
      <c r="AE87" s="97">
        <f t="shared" si="110"/>
        <v>-449809.29</v>
      </c>
      <c r="AF87" s="98">
        <f t="shared" si="110"/>
        <v>-14008794.664235296</v>
      </c>
      <c r="AG87" s="96">
        <f t="shared" si="110"/>
        <v>0</v>
      </c>
      <c r="AH87" s="96">
        <f t="shared" si="110"/>
        <v>-115264.60668345177</v>
      </c>
      <c r="AI87" s="96">
        <f t="shared" si="110"/>
        <v>0</v>
      </c>
      <c r="AJ87" s="96">
        <f t="shared" si="110"/>
        <v>0</v>
      </c>
      <c r="AK87" s="97">
        <f t="shared" si="110"/>
        <v>0</v>
      </c>
      <c r="AL87" s="98">
        <f t="shared" si="110"/>
        <v>694.68</v>
      </c>
      <c r="AM87" s="96">
        <f t="shared" ref="AM87:AO87" si="114">AM85+AM86</f>
        <v>-37886.646767481325</v>
      </c>
      <c r="AN87" s="96">
        <f t="shared" si="114"/>
        <v>0</v>
      </c>
      <c r="AO87" s="97">
        <f t="shared" si="114"/>
        <v>-7169232.518736993</v>
      </c>
      <c r="AP87" s="98">
        <f t="shared" si="110"/>
        <v>0</v>
      </c>
      <c r="AQ87" s="97">
        <f t="shared" si="110"/>
        <v>4677214.6554000061</v>
      </c>
      <c r="AR87" s="98">
        <f t="shared" si="110"/>
        <v>0</v>
      </c>
      <c r="AS87" s="96">
        <f t="shared" si="110"/>
        <v>-1361212.8806226542</v>
      </c>
      <c r="AT87" s="96">
        <f t="shared" ref="AT87" si="115">AT85+AT86</f>
        <v>0</v>
      </c>
      <c r="AU87" s="96">
        <f t="shared" si="110"/>
        <v>0</v>
      </c>
      <c r="AV87" s="96">
        <f t="shared" si="110"/>
        <v>0</v>
      </c>
      <c r="AW87" s="97">
        <f t="shared" si="110"/>
        <v>0</v>
      </c>
      <c r="AX87" s="98">
        <f t="shared" si="110"/>
        <v>0</v>
      </c>
      <c r="AY87" s="96">
        <f t="shared" si="110"/>
        <v>0</v>
      </c>
      <c r="AZ87" s="96">
        <f t="shared" si="110"/>
        <v>0</v>
      </c>
      <c r="BA87" s="96">
        <f t="shared" si="110"/>
        <v>-572737.37284922577</v>
      </c>
      <c r="BB87" s="96">
        <f t="shared" si="110"/>
        <v>-6192883.5842673071</v>
      </c>
      <c r="BC87" s="97">
        <f t="shared" ref="BC87" si="116">BC85+BC86</f>
        <v>0</v>
      </c>
      <c r="BD87" s="98">
        <f t="shared" ref="BD87:BG87" si="117">BD85+BD86</f>
        <v>641418.75891302247</v>
      </c>
      <c r="BE87" s="96">
        <f t="shared" si="117"/>
        <v>1370336.1022367645</v>
      </c>
      <c r="BF87" s="96">
        <f t="shared" si="117"/>
        <v>-82481.96369787147</v>
      </c>
      <c r="BG87" s="97">
        <f t="shared" si="117"/>
        <v>48418.78732695034</v>
      </c>
    </row>
    <row r="88" spans="1:59" s="2" customFormat="1" x14ac:dyDescent="0.2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</row>
    <row r="89" spans="1:59" s="2" customForma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</row>
    <row r="90" spans="1:59" s="2" customFormat="1" x14ac:dyDescent="0.2">
      <c r="A90" s="159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</row>
    <row r="91" spans="1:59" s="2" customFormat="1" x14ac:dyDescent="0.2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</row>
    <row r="92" spans="1:59" s="2" customFormat="1" x14ac:dyDescent="0.2">
      <c r="A92" s="14"/>
    </row>
    <row r="93" spans="1:59" s="2" customFormat="1" x14ac:dyDescent="0.2">
      <c r="A93" s="160"/>
    </row>
  </sheetData>
  <mergeCells count="12">
    <mergeCell ref="AX7:BC7"/>
    <mergeCell ref="BD7:BG7"/>
    <mergeCell ref="C7:F7"/>
    <mergeCell ref="H7:M7"/>
    <mergeCell ref="N7:S7"/>
    <mergeCell ref="T7:X7"/>
    <mergeCell ref="Z7:AC7"/>
    <mergeCell ref="AD7:AE7"/>
    <mergeCell ref="AF7:AK7"/>
    <mergeCell ref="AL7:AO7"/>
    <mergeCell ref="AP7:AQ7"/>
    <mergeCell ref="AR7:AW7"/>
  </mergeCells>
  <pageMargins left="1" right="0.5" top="0.75" bottom="0.5" header="0.4" footer="0.5"/>
  <pageSetup scale="65" firstPageNumber="27" fitToWidth="0" orientation="portrait" useFirstPageNumber="1" r:id="rId1"/>
  <headerFooter alignWithMargins="0">
    <oddHeader xml:space="preserve">&amp;L&amp;12PacifiCorp
Washington General Rate Case - 2021
Summary of Pro Forma Adjustments&amp;10
&amp;R&amp;12Page 1.&amp;P
&amp;10
</oddHeader>
  </headerFooter>
  <colBreaks count="9" manualBreakCount="9">
    <brk id="7" min="6" max="86" man="1"/>
    <brk id="13" min="6" max="86" man="1"/>
    <brk id="19" min="6" max="86" man="1"/>
    <brk id="25" min="6" max="86" man="1"/>
    <brk id="31" min="6" max="86" man="1"/>
    <brk id="37" min="6" max="86" man="1"/>
    <brk id="43" min="6" max="86" man="1"/>
    <brk id="49" min="6" max="86" man="1"/>
    <brk id="55" min="6" max="86" man="1"/>
  </colBreaks>
  <customProperties>
    <customPr name="_pios_id" r:id="rId2"/>
  </customProperties>
  <ignoredErrors>
    <ignoredError sqref="B12:B38 B40:B87 C38:D38 C65:D65 C15:D15 C19:D19 C21:D26 C28:D28 C43:D43 C45:D45 C57:D57 C58:D59 C12:AQ12 BD9:BG13 C31:D31 C35:D35 C63:D63 C14:U14 V14:BB14 BD14:BG14 C30:D30 C78:D79 C32:D32 C86:D86 C87:D87 C80:D85 C64:D64 C36:D37 C33:D34 AR12:BB12 C13:BB13 C60:D62 C46:D56 C44:D44 C29:D29 C27:D27 C20:D20 C16:D18 C66:D77 C39:D42 C8:BB11 BC8:BC9 E39:BB42 AU38:BB38 E66:BB77 AU65:BB65 E16:BB18 E20:BB20 E27:BB27 E29:BB29 E44:BB44 E46:BB56 AR45:BB45 E60:BB62 E33:BB34 AR31:BB31 E36:BB37 E64:BB64 AR63:BB63 E80:BB85 AD21:BB21 AD23:BB26 AD28:BB28 AD58:BB58 AN32:BB32 E87:BB87 AG86:BB86 BD80:BG87 E86:AE86 AI78:AN79 AA58:AB58 AA57 AT43 AT79 AT78:AZ78 AT59:AW59 AT35:AZ35 AP79:AR79 AP78 AP59 AP35 AI59:AN59 AI35:AN35 BD32:BG34 AF32:AK32 E32:AD32 AV79:AZ79 AV43:AW43 AV30:AZ30 Z30:AA30 Y79:AG79 Y78:AB78 Y59:AB59 Y58 Y43:AO43 Y35:AB35 Z31:AB31 Y22:AB22 BF58:BG58 BF31:BG31 BF21:BG22 BD58 AD31:AP31 AD78:AG78 AD59:AF59 AD57:AO57 AD35:AH35 AD30:AT30 BD24:BG29 AD22:AP22 BD21 AD19:BB19 P25:AB25 P15:AP15 BG78:BG79 E78:W79 BG35 E30:X30 BE23:BF23 BF19:BG19 BE15:BF15 U23:AB23 U22:V22 U19:AB19 AR78 BD60:BG77 E63:AP63 AR59 AR35 E35:W35 BD36:BG42 BD31 E31:W31 AR22:BA22 AR15:BB15 AH59 AY59:AZ59 E58:W59 AY57:AZ57 AY43:AZ43 AQ57:AW57 E57:Y57 BD44:BG56 E45:AO45 AQ43:AR43 E43:W43 T28:AB28 K28:R28 E28:H28 J26:AB26 E21:H26 J25:N25 J24:AB24 J22:T23 J21:AB21 J19:T19 E19:H19 BD20:BG20 G15:N15 BD16:BG18 AD65:AS65 W65:AB65 E65:U65 E38:AS38 E15:F15 BC39:BC42 BC80:BC85 I19 BC16:BC18 O15 BC27 BC20 I21 AC21 I22:I23 I24 AC24 I25 O25 I26 AC26 BC29 I28:J28 S28 AC28 BC44 X43 AS43 BC60:BC62 AP45:AQ45 BC46:BC56 Z57 AX57 BA43:BG43 BA57:BG57 X58 X59 BA59:BB59 BC15:BD15 BB22:BE22 BC33:BC34 X31:Y31 BE31 BC36:BC37 X35 AS35 AS59 BC64 AQ63 BC66:BC77 X78 AS78 AC19 W22:X22 AC23 BG15 BG23 Y30 X79 AQ15 AC25 BD19:BE19 BE21 AQ22 AU30 AP57 AG59 AH78 AQ31 BE58 AC22 AC31 AC35 AP43 Z58 AC59 AC78 AH79 AB30:AC30 BA30:BG30 AX43 BA79:BF79 AE32 AL32:AM32 AO35 AO59 AQ35 AQ59 AQ78 AS79 BA35:BB35 AX59 BA78:BB78 AU79 AU43 AB57:AC57 AC58 AO78 AO79 E88:BG88 AF86 BC87 BC86 BC32 BC58 BC28 BC24 BC26 BC23:BD23 BC25 BC21 BC45 BC65 BC38 BD35:BF35 BD59:BG59 BD78:BF78" unlockedFormula="1"/>
    <ignoredError sqref="B39 AT65 AC65 V65 AT38" formula="1" unlockedFormula="1"/>
    <ignoredError sqref="BD8:BG8" numberStoredAsText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D31"/>
  <sheetViews>
    <sheetView workbookViewId="0">
      <selection activeCell="D31" sqref="D31"/>
    </sheetView>
  </sheetViews>
  <sheetFormatPr defaultRowHeight="12.75" x14ac:dyDescent="0.2"/>
  <cols>
    <col min="1" max="1" width="3.140625" style="20" customWidth="1"/>
    <col min="2" max="2" width="42.28515625" style="20" customWidth="1"/>
    <col min="3" max="3" width="16.28515625" style="20" customWidth="1"/>
    <col min="4" max="4" width="26.28515625" style="20" customWidth="1"/>
    <col min="5" max="5" width="14" style="20" bestFit="1" customWidth="1"/>
    <col min="6" max="16384" width="9.140625" style="20"/>
  </cols>
  <sheetData>
    <row r="1" spans="2:4" x14ac:dyDescent="0.2">
      <c r="B1" s="26" t="s">
        <v>42</v>
      </c>
    </row>
    <row r="2" spans="2:4" x14ac:dyDescent="0.2">
      <c r="B2" s="26" t="s">
        <v>270</v>
      </c>
    </row>
    <row r="3" spans="2:4" x14ac:dyDescent="0.2">
      <c r="B3" s="26" t="s">
        <v>124</v>
      </c>
    </row>
    <row r="5" spans="2:4" x14ac:dyDescent="0.2">
      <c r="B5" s="27" t="s">
        <v>147</v>
      </c>
      <c r="D5" s="62" t="s">
        <v>156</v>
      </c>
    </row>
    <row r="6" spans="2:4" x14ac:dyDescent="0.2">
      <c r="B6" s="20" t="s">
        <v>125</v>
      </c>
      <c r="C6" s="3">
        <f>Summary!B74</f>
        <v>22042470.758558765</v>
      </c>
      <c r="D6" s="259" t="s">
        <v>265</v>
      </c>
    </row>
    <row r="7" spans="2:4" x14ac:dyDescent="0.2">
      <c r="D7" s="245"/>
    </row>
    <row r="8" spans="2:4" x14ac:dyDescent="0.2">
      <c r="D8" s="245"/>
    </row>
    <row r="9" spans="2:4" x14ac:dyDescent="0.2">
      <c r="B9" s="27" t="s">
        <v>130</v>
      </c>
      <c r="D9" s="245"/>
    </row>
    <row r="10" spans="2:4" x14ac:dyDescent="0.2">
      <c r="B10" s="20" t="s">
        <v>126</v>
      </c>
      <c r="C10" s="3">
        <f>Summary!F64</f>
        <v>769006385.2757175</v>
      </c>
      <c r="D10" s="259" t="s">
        <v>266</v>
      </c>
    </row>
    <row r="11" spans="2:4" x14ac:dyDescent="0.2">
      <c r="B11" s="20" t="s">
        <v>127</v>
      </c>
      <c r="C11" s="55">
        <f>Variables!$E$8</f>
        <v>2.334048E-2</v>
      </c>
      <c r="D11" s="20" t="s">
        <v>157</v>
      </c>
    </row>
    <row r="12" spans="2:4" x14ac:dyDescent="0.2">
      <c r="B12" s="20" t="s">
        <v>128</v>
      </c>
      <c r="C12" s="3">
        <f>C10*C11</f>
        <v>17948978.155400179</v>
      </c>
      <c r="D12" s="259" t="s">
        <v>267</v>
      </c>
    </row>
    <row r="14" spans="2:4" x14ac:dyDescent="0.2">
      <c r="B14" s="20" t="s">
        <v>125</v>
      </c>
      <c r="C14" s="3">
        <f>Summary!B74</f>
        <v>22042470.758558765</v>
      </c>
      <c r="D14" s="20" t="s">
        <v>155</v>
      </c>
    </row>
    <row r="15" spans="2:4" x14ac:dyDescent="0.2">
      <c r="D15" s="245"/>
    </row>
    <row r="16" spans="2:4" x14ac:dyDescent="0.2">
      <c r="B16" s="20" t="s">
        <v>129</v>
      </c>
      <c r="C16" s="3">
        <f>C12-C14</f>
        <v>-4093492.6031585857</v>
      </c>
      <c r="D16" s="20" t="s">
        <v>328</v>
      </c>
    </row>
    <row r="17" spans="2:4" x14ac:dyDescent="0.2">
      <c r="D17" s="245"/>
    </row>
    <row r="18" spans="2:4" x14ac:dyDescent="0.2">
      <c r="D18" s="245"/>
    </row>
    <row r="19" spans="2:4" x14ac:dyDescent="0.2">
      <c r="B19" s="27" t="s">
        <v>224</v>
      </c>
      <c r="D19" s="245"/>
    </row>
    <row r="20" spans="2:4" x14ac:dyDescent="0.2">
      <c r="B20" s="20" t="s">
        <v>225</v>
      </c>
      <c r="C20" s="3">
        <f>Summary!J64</f>
        <v>1015974207.925154</v>
      </c>
      <c r="D20" s="259" t="s">
        <v>268</v>
      </c>
    </row>
    <row r="21" spans="2:4" x14ac:dyDescent="0.2">
      <c r="B21" s="20" t="s">
        <v>127</v>
      </c>
      <c r="C21" s="55">
        <f>Variables!$E$8</f>
        <v>2.334048E-2</v>
      </c>
      <c r="D21" s="20" t="s">
        <v>157</v>
      </c>
    </row>
    <row r="22" spans="2:4" x14ac:dyDescent="0.2">
      <c r="B22" s="20" t="s">
        <v>226</v>
      </c>
      <c r="C22" s="3">
        <f>C20*C21</f>
        <v>23713325.680592898</v>
      </c>
      <c r="D22" s="259" t="s">
        <v>269</v>
      </c>
    </row>
    <row r="24" spans="2:4" x14ac:dyDescent="0.2">
      <c r="B24" s="20" t="s">
        <v>128</v>
      </c>
      <c r="C24" s="3">
        <f>C12</f>
        <v>17948978.155400179</v>
      </c>
      <c r="D24" s="260" t="s">
        <v>155</v>
      </c>
    </row>
    <row r="25" spans="2:4" x14ac:dyDescent="0.2">
      <c r="D25" s="245"/>
    </row>
    <row r="26" spans="2:4" x14ac:dyDescent="0.2">
      <c r="B26" s="20" t="s">
        <v>227</v>
      </c>
      <c r="C26" s="3">
        <f>C22-C24</f>
        <v>5764347.525192719</v>
      </c>
      <c r="D26" s="20" t="s">
        <v>328</v>
      </c>
    </row>
    <row r="27" spans="2:4" x14ac:dyDescent="0.2">
      <c r="D27" s="245"/>
    </row>
    <row r="28" spans="2:4" x14ac:dyDescent="0.2">
      <c r="D28" s="245"/>
    </row>
    <row r="29" spans="2:4" x14ac:dyDescent="0.2">
      <c r="D29" s="245"/>
    </row>
    <row r="30" spans="2:4" x14ac:dyDescent="0.2">
      <c r="D30" s="245"/>
    </row>
    <row r="31" spans="2:4" x14ac:dyDescent="0.2">
      <c r="D31" s="245"/>
    </row>
  </sheetData>
  <pageMargins left="0.7" right="0.7" top="0.75" bottom="0.75" header="0.3" footer="0.3"/>
  <pageSetup scale="89"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F35"/>
  <sheetViews>
    <sheetView workbookViewId="0">
      <selection activeCell="A3" sqref="A3"/>
    </sheetView>
  </sheetViews>
  <sheetFormatPr defaultRowHeight="12.75" x14ac:dyDescent="0.2"/>
  <cols>
    <col min="1" max="1" width="3.85546875" style="20" customWidth="1"/>
    <col min="2" max="4" width="15.7109375" style="20" customWidth="1"/>
    <col min="5" max="5" width="13.42578125" style="20" bestFit="1" customWidth="1"/>
    <col min="6" max="16384" width="9.140625" style="20"/>
  </cols>
  <sheetData>
    <row r="1" spans="2:5" x14ac:dyDescent="0.2">
      <c r="B1" s="26" t="s">
        <v>42</v>
      </c>
    </row>
    <row r="2" spans="2:5" x14ac:dyDescent="0.2">
      <c r="B2" s="26" t="s">
        <v>270</v>
      </c>
    </row>
    <row r="3" spans="2:5" x14ac:dyDescent="0.2">
      <c r="B3" s="26" t="s">
        <v>150</v>
      </c>
    </row>
    <row r="6" spans="2:5" x14ac:dyDescent="0.2">
      <c r="B6" s="44" t="s">
        <v>148</v>
      </c>
      <c r="C6" s="50"/>
      <c r="D6" s="50"/>
      <c r="E6" s="50"/>
    </row>
    <row r="7" spans="2:5" s="52" customFormat="1" x14ac:dyDescent="0.2">
      <c r="B7" s="45"/>
      <c r="C7" s="45" t="s">
        <v>28</v>
      </c>
      <c r="D7" s="46" t="s">
        <v>29</v>
      </c>
      <c r="E7" s="45" t="s">
        <v>30</v>
      </c>
    </row>
    <row r="8" spans="2:5" x14ac:dyDescent="0.2">
      <c r="B8" s="47" t="s">
        <v>31</v>
      </c>
      <c r="C8" s="183">
        <f>[56]Variables!G3</f>
        <v>0.47439999999999999</v>
      </c>
      <c r="D8" s="184">
        <f>[56]Variables!G7</f>
        <v>4.9200000000000001E-2</v>
      </c>
      <c r="E8" s="238">
        <f>C8*D8</f>
        <v>2.334048E-2</v>
      </c>
    </row>
    <row r="9" spans="2:5" x14ac:dyDescent="0.2">
      <c r="B9" s="47" t="s">
        <v>32</v>
      </c>
      <c r="C9" s="183">
        <f>[56]Variables!G4</f>
        <v>1E-4</v>
      </c>
      <c r="D9" s="184">
        <f>[56]Variables!G8</f>
        <v>6.7500000000000004E-2</v>
      </c>
      <c r="E9" s="238">
        <f>C9*D9</f>
        <v>6.7500000000000006E-6</v>
      </c>
    </row>
    <row r="10" spans="2:5" x14ac:dyDescent="0.2">
      <c r="B10" s="48" t="s">
        <v>33</v>
      </c>
      <c r="C10" s="185">
        <f>[56]Variables!G5</f>
        <v>0.52549999999999997</v>
      </c>
      <c r="D10" s="186">
        <f>[56]Variables!G9</f>
        <v>0.10199999999999999</v>
      </c>
      <c r="E10" s="239">
        <f>C10*D10</f>
        <v>5.3600999999999996E-2</v>
      </c>
    </row>
    <row r="11" spans="2:5" x14ac:dyDescent="0.2">
      <c r="E11" s="240">
        <f>SUM(E8:E10)</f>
        <v>7.6948229999999992E-2</v>
      </c>
    </row>
    <row r="16" spans="2:5" x14ac:dyDescent="0.2">
      <c r="B16" s="27" t="s">
        <v>144</v>
      </c>
      <c r="C16" s="53"/>
    </row>
    <row r="17" spans="2:6" x14ac:dyDescent="0.2">
      <c r="B17" s="20" t="s">
        <v>98</v>
      </c>
      <c r="D17" s="38">
        <v>1</v>
      </c>
    </row>
    <row r="18" spans="2:6" x14ac:dyDescent="0.2">
      <c r="D18" s="38"/>
    </row>
    <row r="19" spans="2:6" x14ac:dyDescent="0.2">
      <c r="B19" s="20" t="s">
        <v>138</v>
      </c>
      <c r="D19" s="38"/>
    </row>
    <row r="20" spans="2:6" x14ac:dyDescent="0.2">
      <c r="B20" s="20" t="s">
        <v>139</v>
      </c>
      <c r="D20" s="187">
        <f>[56]Results!D153</f>
        <v>5.1435834186224598E-3</v>
      </c>
      <c r="F20" s="58"/>
    </row>
    <row r="21" spans="2:6" x14ac:dyDescent="0.2">
      <c r="B21" s="20" t="s">
        <v>137</v>
      </c>
      <c r="D21" s="187">
        <f>[56]Results!D154</f>
        <v>2E-3</v>
      </c>
    </row>
    <row r="22" spans="2:6" x14ac:dyDescent="0.2">
      <c r="B22" s="20" t="s">
        <v>247</v>
      </c>
      <c r="D22" s="187">
        <f>[56]Results!D155</f>
        <v>3.95E-2</v>
      </c>
    </row>
    <row r="23" spans="2:6" x14ac:dyDescent="0.2">
      <c r="B23" s="20" t="s">
        <v>140</v>
      </c>
      <c r="D23" s="187">
        <f>[56]Results!D156</f>
        <v>0</v>
      </c>
    </row>
    <row r="24" spans="2:6" x14ac:dyDescent="0.2">
      <c r="B24" s="20" t="s">
        <v>141</v>
      </c>
      <c r="D24" s="186">
        <f>[56]Results!D157</f>
        <v>0</v>
      </c>
    </row>
    <row r="25" spans="2:6" x14ac:dyDescent="0.2">
      <c r="D25" s="38"/>
    </row>
    <row r="26" spans="2:6" x14ac:dyDescent="0.2">
      <c r="B26" s="20" t="s">
        <v>142</v>
      </c>
      <c r="D26" s="54">
        <f>D17-SUM(D19:D24)</f>
        <v>0.95335641658137749</v>
      </c>
    </row>
    <row r="27" spans="2:6" x14ac:dyDescent="0.2">
      <c r="D27" s="38"/>
    </row>
    <row r="28" spans="2:6" x14ac:dyDescent="0.2">
      <c r="B28" s="20" t="s">
        <v>145</v>
      </c>
      <c r="D28" s="39">
        <v>0</v>
      </c>
    </row>
    <row r="29" spans="2:6" x14ac:dyDescent="0.2">
      <c r="D29" s="38"/>
    </row>
    <row r="30" spans="2:6" x14ac:dyDescent="0.2">
      <c r="B30" s="20" t="s">
        <v>142</v>
      </c>
      <c r="D30" s="54">
        <f>D26-D28</f>
        <v>0.95335641658137749</v>
      </c>
    </row>
    <row r="31" spans="2:6" x14ac:dyDescent="0.2">
      <c r="D31" s="38"/>
    </row>
    <row r="32" spans="2:6" x14ac:dyDescent="0.2">
      <c r="B32" s="20" t="s">
        <v>274</v>
      </c>
      <c r="D32" s="39">
        <f>D30*0.21</f>
        <v>0.20020484748208928</v>
      </c>
    </row>
    <row r="33" spans="2:4" x14ac:dyDescent="0.2">
      <c r="D33" s="55"/>
    </row>
    <row r="34" spans="2:4" ht="13.5" thickBot="1" x14ac:dyDescent="0.25">
      <c r="B34" s="20" t="s">
        <v>143</v>
      </c>
      <c r="D34" s="56">
        <f>ROUND(D30-D32,5)</f>
        <v>0.75314999999999999</v>
      </c>
    </row>
    <row r="35" spans="2:4" ht="13.5" thickTop="1" x14ac:dyDescent="0.2">
      <c r="D35" s="57"/>
    </row>
  </sheetData>
  <phoneticPr fontId="3" type="noConversion"/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X144"/>
  <sheetViews>
    <sheetView zoomScale="90" zoomScaleNormal="90" workbookViewId="0">
      <selection activeCell="A3" sqref="A3"/>
    </sheetView>
  </sheetViews>
  <sheetFormatPr defaultRowHeight="12.75" x14ac:dyDescent="0.2"/>
  <cols>
    <col min="1" max="1" width="36.85546875" style="20" customWidth="1"/>
    <col min="2" max="3" width="15.7109375" style="20" bestFit="1" customWidth="1"/>
    <col min="4" max="4" width="13.85546875" style="20" customWidth="1"/>
    <col min="5" max="5" width="3.140625" style="20" customWidth="1"/>
    <col min="6" max="6" width="13.85546875" style="20" customWidth="1"/>
    <col min="7" max="7" width="12.85546875" style="20" bestFit="1" customWidth="1"/>
    <col min="8" max="8" width="13.85546875" style="20" customWidth="1"/>
    <col min="9" max="9" width="3.140625" style="20" customWidth="1"/>
    <col min="10" max="11" width="15.7109375" style="20" bestFit="1" customWidth="1"/>
    <col min="12" max="12" width="13.85546875" style="20" customWidth="1"/>
    <col min="13" max="13" width="3.5703125" style="20" customWidth="1"/>
    <col min="14" max="16" width="13.85546875" style="20" customWidth="1"/>
    <col min="17" max="17" width="3.5703125" style="20" customWidth="1"/>
    <col min="18" max="19" width="15.7109375" style="20" bestFit="1" customWidth="1"/>
    <col min="20" max="20" width="13.85546875" style="20" customWidth="1"/>
    <col min="21" max="21" width="3.5703125" style="20" customWidth="1"/>
    <col min="22" max="24" width="13.85546875" style="20" customWidth="1"/>
    <col min="25" max="16384" width="9.140625" style="20"/>
  </cols>
  <sheetData>
    <row r="1" spans="1:24" x14ac:dyDescent="0.2">
      <c r="A1" s="5" t="s">
        <v>42</v>
      </c>
    </row>
    <row r="2" spans="1:24" x14ac:dyDescent="0.2">
      <c r="A2" s="146" t="s">
        <v>270</v>
      </c>
    </row>
    <row r="3" spans="1:24" x14ac:dyDescent="0.2">
      <c r="A3" s="1" t="s">
        <v>154</v>
      </c>
    </row>
    <row r="4" spans="1:24" x14ac:dyDescent="0.2">
      <c r="A4" s="1"/>
    </row>
    <row r="5" spans="1:24" x14ac:dyDescent="0.2">
      <c r="A5" s="1"/>
    </row>
    <row r="6" spans="1:24" x14ac:dyDescent="0.2">
      <c r="A6" s="60"/>
      <c r="B6" s="61" t="s">
        <v>147</v>
      </c>
      <c r="C6" s="25"/>
      <c r="D6" s="25"/>
      <c r="F6" s="61" t="s">
        <v>111</v>
      </c>
      <c r="G6" s="25"/>
      <c r="H6" s="25"/>
      <c r="J6" s="61" t="s">
        <v>130</v>
      </c>
      <c r="K6" s="25"/>
      <c r="L6" s="25"/>
      <c r="N6" s="61" t="s">
        <v>222</v>
      </c>
      <c r="O6" s="25"/>
      <c r="P6" s="25"/>
      <c r="R6" s="61" t="s">
        <v>224</v>
      </c>
      <c r="S6" s="25"/>
      <c r="T6" s="25"/>
      <c r="V6" s="61" t="s">
        <v>134</v>
      </c>
      <c r="W6" s="25"/>
      <c r="X6" s="25"/>
    </row>
    <row r="7" spans="1:24" ht="38.25" x14ac:dyDescent="0.2">
      <c r="A7" s="21"/>
      <c r="B7" s="59" t="s">
        <v>152</v>
      </c>
      <c r="C7" s="59" t="s">
        <v>153</v>
      </c>
      <c r="D7" s="59" t="s">
        <v>151</v>
      </c>
      <c r="F7" s="59" t="s">
        <v>152</v>
      </c>
      <c r="G7" s="59" t="s">
        <v>153</v>
      </c>
      <c r="H7" s="59" t="s">
        <v>151</v>
      </c>
      <c r="J7" s="59" t="s">
        <v>152</v>
      </c>
      <c r="K7" s="59" t="s">
        <v>153</v>
      </c>
      <c r="L7" s="59" t="s">
        <v>151</v>
      </c>
      <c r="N7" s="59" t="s">
        <v>152</v>
      </c>
      <c r="O7" s="59" t="s">
        <v>153</v>
      </c>
      <c r="P7" s="59" t="s">
        <v>151</v>
      </c>
      <c r="R7" s="59" t="s">
        <v>152</v>
      </c>
      <c r="S7" s="59" t="s">
        <v>153</v>
      </c>
      <c r="T7" s="59" t="s">
        <v>151</v>
      </c>
      <c r="V7" s="59" t="s">
        <v>152</v>
      </c>
      <c r="W7" s="59" t="s">
        <v>153</v>
      </c>
      <c r="X7" s="59" t="s">
        <v>151</v>
      </c>
    </row>
    <row r="8" spans="1:24" x14ac:dyDescent="0.2">
      <c r="A8" s="11" t="s">
        <v>45</v>
      </c>
      <c r="B8" s="9"/>
      <c r="C8" s="9"/>
      <c r="D8" s="9"/>
      <c r="F8" s="9"/>
      <c r="G8" s="9"/>
      <c r="H8" s="9"/>
      <c r="J8" s="9"/>
      <c r="K8" s="9"/>
      <c r="L8" s="9"/>
      <c r="N8" s="9"/>
      <c r="O8" s="9"/>
      <c r="P8" s="9"/>
      <c r="R8" s="9"/>
      <c r="S8" s="9"/>
      <c r="T8" s="9"/>
      <c r="V8" s="9"/>
      <c r="W8" s="9"/>
      <c r="X8" s="9"/>
    </row>
    <row r="9" spans="1:24" x14ac:dyDescent="0.2">
      <c r="A9" s="11" t="s">
        <v>46</v>
      </c>
      <c r="B9" s="9">
        <f>Summary!$B$9</f>
        <v>326549201.78999996</v>
      </c>
      <c r="C9" s="9">
        <f>[1]Results!C11</f>
        <v>326549201.78999996</v>
      </c>
      <c r="D9" s="9">
        <f>C9-B9</f>
        <v>0</v>
      </c>
      <c r="F9" s="9">
        <f>Summary!$D$9</f>
        <v>22605198.140773375</v>
      </c>
      <c r="G9" s="9">
        <f>[1]Results!D11</f>
        <v>22605198.140773375</v>
      </c>
      <c r="H9" s="9">
        <f>ROUND(G9-F9,0)</f>
        <v>0</v>
      </c>
      <c r="J9" s="9">
        <f>Summary!$F$9</f>
        <v>349154399.93077332</v>
      </c>
      <c r="K9" s="9">
        <f>[1]Results!G11</f>
        <v>349154399.93077332</v>
      </c>
      <c r="L9" s="9">
        <f>K9-J9</f>
        <v>0</v>
      </c>
      <c r="N9" s="9">
        <f>Summary!$H$9</f>
        <v>17418111.240000013</v>
      </c>
      <c r="O9" s="9">
        <f>[1]Results!H11</f>
        <v>17418111.240000013</v>
      </c>
      <c r="P9" s="9">
        <f>O9-N9</f>
        <v>0</v>
      </c>
      <c r="R9" s="9">
        <f>Summary!$J$9</f>
        <v>366572511.17077333</v>
      </c>
      <c r="S9" s="9">
        <f>[1]Results!I11</f>
        <v>366572511.17077333</v>
      </c>
      <c r="T9" s="9">
        <f>S9-R9</f>
        <v>0</v>
      </c>
      <c r="V9" s="9">
        <f>Summary!$L$9</f>
        <v>29786938.196470469</v>
      </c>
      <c r="W9" s="9">
        <f>[1]Results!H100</f>
        <v>29786937.605305426</v>
      </c>
      <c r="X9" s="9">
        <f>W9-V9</f>
        <v>-0.59116504341363907</v>
      </c>
    </row>
    <row r="10" spans="1:24" x14ac:dyDescent="0.2">
      <c r="A10" s="11" t="s">
        <v>47</v>
      </c>
      <c r="B10" s="9">
        <f>Summary!$B$10</f>
        <v>0</v>
      </c>
      <c r="C10" s="9">
        <f>[1]Results!C12</f>
        <v>0</v>
      </c>
      <c r="D10" s="9">
        <f t="shared" ref="D10:D13" si="0">C10-B10</f>
        <v>0</v>
      </c>
      <c r="F10" s="9">
        <f>Summary!$D$10</f>
        <v>0</v>
      </c>
      <c r="G10" s="9">
        <f>[1]Results!D12</f>
        <v>0</v>
      </c>
      <c r="H10" s="9">
        <f t="shared" ref="H10:H12" si="1">ROUND(G10-F10,0)</f>
        <v>0</v>
      </c>
      <c r="J10" s="9">
        <f>Summary!$F$10</f>
        <v>0</v>
      </c>
      <c r="K10" s="9">
        <f>[1]Results!G12</f>
        <v>0</v>
      </c>
      <c r="L10" s="9">
        <f t="shared" ref="L10:L13" si="2">K10-J10</f>
        <v>0</v>
      </c>
      <c r="N10" s="9">
        <f>Summary!$H$10</f>
        <v>0</v>
      </c>
      <c r="O10" s="9">
        <f>[1]Results!H12</f>
        <v>0</v>
      </c>
      <c r="P10" s="9">
        <f t="shared" ref="P10:P13" si="3">O10-N10</f>
        <v>0</v>
      </c>
      <c r="R10" s="9">
        <f>Summary!$J$10</f>
        <v>0</v>
      </c>
      <c r="S10" s="9">
        <f>[1]Results!I12</f>
        <v>0</v>
      </c>
      <c r="T10" s="9">
        <f t="shared" ref="T10:T13" si="4">S10-R10</f>
        <v>0</v>
      </c>
      <c r="V10" s="9">
        <f>Summary!$L$10</f>
        <v>0</v>
      </c>
      <c r="W10" s="9">
        <f>[1]Results!H101</f>
        <v>0</v>
      </c>
      <c r="X10" s="9">
        <f t="shared" ref="X10:X13" si="5">W10-V10</f>
        <v>0</v>
      </c>
    </row>
    <row r="11" spans="1:24" x14ac:dyDescent="0.2">
      <c r="A11" s="11" t="s">
        <v>48</v>
      </c>
      <c r="B11" s="9">
        <f>Summary!$B$11</f>
        <v>17019166.449027743</v>
      </c>
      <c r="C11" s="9">
        <f>[1]Results!C13</f>
        <v>17019166.449027743</v>
      </c>
      <c r="D11" s="9">
        <f t="shared" si="0"/>
        <v>0</v>
      </c>
      <c r="F11" s="9">
        <f>Summary!$D$11</f>
        <v>0</v>
      </c>
      <c r="G11" s="9">
        <f>[1]Results!D13</f>
        <v>0</v>
      </c>
      <c r="H11" s="9">
        <f t="shared" si="1"/>
        <v>0</v>
      </c>
      <c r="J11" s="9">
        <f>Summary!$F$11</f>
        <v>17019166.449027743</v>
      </c>
      <c r="K11" s="9">
        <f>[1]Results!G13</f>
        <v>17019166.449027743</v>
      </c>
      <c r="L11" s="9">
        <f t="shared" si="2"/>
        <v>0</v>
      </c>
      <c r="N11" s="9">
        <f>Summary!$H$11</f>
        <v>-14866338.791918496</v>
      </c>
      <c r="O11" s="9">
        <f>[1]Results!H13</f>
        <v>-14866338.791918496</v>
      </c>
      <c r="P11" s="9">
        <f t="shared" si="3"/>
        <v>0</v>
      </c>
      <c r="R11" s="9">
        <f>Summary!$J$11</f>
        <v>2152827.6571092475</v>
      </c>
      <c r="S11" s="9">
        <f>[1]Results!I13</f>
        <v>2152827.6571092475</v>
      </c>
      <c r="T11" s="9">
        <f t="shared" si="4"/>
        <v>0</v>
      </c>
      <c r="V11" s="9">
        <f>Summary!$L$11</f>
        <v>0</v>
      </c>
      <c r="W11" s="9">
        <f>[1]Results!H102</f>
        <v>0</v>
      </c>
      <c r="X11" s="9">
        <f t="shared" si="5"/>
        <v>0</v>
      </c>
    </row>
    <row r="12" spans="1:24" x14ac:dyDescent="0.2">
      <c r="A12" s="11" t="s">
        <v>49</v>
      </c>
      <c r="B12" s="9">
        <f>Summary!$B$12</f>
        <v>10619467.010369893</v>
      </c>
      <c r="C12" s="9">
        <f>[1]Results!C14</f>
        <v>10619467.010369893</v>
      </c>
      <c r="D12" s="9">
        <f t="shared" si="0"/>
        <v>0</v>
      </c>
      <c r="F12" s="9">
        <f>Summary!$D$12</f>
        <v>-105882.16327527266</v>
      </c>
      <c r="G12" s="9">
        <f>[1]Results!D14</f>
        <v>-105882.16327527266</v>
      </c>
      <c r="H12" s="9">
        <f t="shared" si="1"/>
        <v>0</v>
      </c>
      <c r="J12" s="9">
        <f>Summary!$F$12</f>
        <v>10513584.84709462</v>
      </c>
      <c r="K12" s="9">
        <f>[1]Results!G14</f>
        <v>10513584.84709462</v>
      </c>
      <c r="L12" s="9">
        <f t="shared" si="2"/>
        <v>0</v>
      </c>
      <c r="N12" s="9">
        <f>Summary!$H$12</f>
        <v>1268157.0965046838</v>
      </c>
      <c r="O12" s="9">
        <f>[1]Results!H14</f>
        <v>1268157.0965046838</v>
      </c>
      <c r="P12" s="9">
        <f t="shared" si="3"/>
        <v>0</v>
      </c>
      <c r="R12" s="9">
        <f>Summary!$J$12</f>
        <v>11781741.943599304</v>
      </c>
      <c r="S12" s="9">
        <f>[1]Results!I14</f>
        <v>11781741.943599304</v>
      </c>
      <c r="T12" s="9">
        <f t="shared" si="4"/>
        <v>0</v>
      </c>
      <c r="V12" s="9">
        <f>Summary!$L$12</f>
        <v>0</v>
      </c>
      <c r="W12" s="9">
        <f>[1]Results!H103</f>
        <v>0</v>
      </c>
      <c r="X12" s="9">
        <f t="shared" si="5"/>
        <v>0</v>
      </c>
    </row>
    <row r="13" spans="1:24" ht="13.5" thickBot="1" x14ac:dyDescent="0.25">
      <c r="A13" s="11" t="s">
        <v>50</v>
      </c>
      <c r="B13" s="10">
        <f>Summary!$B$13</f>
        <v>354187835.24939758</v>
      </c>
      <c r="C13" s="10">
        <f>[1]Results!C15</f>
        <v>354187835.24939758</v>
      </c>
      <c r="D13" s="10">
        <f t="shared" si="0"/>
        <v>0</v>
      </c>
      <c r="F13" s="10">
        <f>Summary!$D$13</f>
        <v>22499315.977498103</v>
      </c>
      <c r="G13" s="10">
        <f>[1]Results!D15</f>
        <v>22499315.977498103</v>
      </c>
      <c r="H13" s="10">
        <f t="shared" ref="H13" si="6">G13-F13</f>
        <v>0</v>
      </c>
      <c r="J13" s="10">
        <f>Summary!$F$13</f>
        <v>376687151.22689563</v>
      </c>
      <c r="K13" s="10">
        <f>[1]Results!G15</f>
        <v>376687151.22689563</v>
      </c>
      <c r="L13" s="10">
        <f t="shared" si="2"/>
        <v>0</v>
      </c>
      <c r="N13" s="10">
        <f>Summary!$H$13</f>
        <v>3819929.5445862012</v>
      </c>
      <c r="O13" s="10">
        <f>[1]Results!H15</f>
        <v>3819929.5445862012</v>
      </c>
      <c r="P13" s="10">
        <f t="shared" si="3"/>
        <v>0</v>
      </c>
      <c r="R13" s="10">
        <f>Summary!$J$13</f>
        <v>380507080.77148187</v>
      </c>
      <c r="S13" s="10">
        <f>[1]Results!I15</f>
        <v>380507080.77148187</v>
      </c>
      <c r="T13" s="10">
        <f t="shared" si="4"/>
        <v>0</v>
      </c>
      <c r="V13" s="10">
        <f>Summary!$L$13</f>
        <v>29786938.196470469</v>
      </c>
      <c r="W13" s="10">
        <f>W9</f>
        <v>29786937.605305426</v>
      </c>
      <c r="X13" s="10">
        <f t="shared" si="5"/>
        <v>-0.59116504341363907</v>
      </c>
    </row>
    <row r="14" spans="1:24" ht="13.5" thickTop="1" x14ac:dyDescent="0.2">
      <c r="A14" s="11"/>
      <c r="B14" s="9"/>
      <c r="C14" s="9"/>
      <c r="D14" s="9"/>
      <c r="F14" s="9"/>
      <c r="G14" s="9"/>
      <c r="H14" s="9"/>
      <c r="J14" s="9"/>
      <c r="K14" s="9"/>
      <c r="L14" s="9"/>
      <c r="N14" s="9"/>
      <c r="O14" s="9"/>
      <c r="P14" s="9"/>
      <c r="R14" s="9"/>
      <c r="S14" s="9"/>
      <c r="T14" s="9"/>
      <c r="V14" s="9"/>
      <c r="W14" s="9"/>
      <c r="X14" s="9"/>
    </row>
    <row r="15" spans="1:24" x14ac:dyDescent="0.2">
      <c r="A15" s="11" t="s">
        <v>51</v>
      </c>
      <c r="B15" s="9"/>
      <c r="C15" s="9"/>
      <c r="D15" s="9"/>
      <c r="F15" s="9"/>
      <c r="G15" s="9"/>
      <c r="H15" s="9"/>
      <c r="J15" s="9"/>
      <c r="K15" s="9"/>
      <c r="L15" s="9"/>
      <c r="N15" s="9"/>
      <c r="O15" s="9"/>
      <c r="P15" s="9"/>
      <c r="R15" s="9"/>
      <c r="S15" s="9"/>
      <c r="T15" s="9"/>
      <c r="V15" s="9"/>
      <c r="W15" s="9"/>
      <c r="X15" s="9"/>
    </row>
    <row r="16" spans="1:24" x14ac:dyDescent="0.2">
      <c r="A16" s="11" t="s">
        <v>52</v>
      </c>
      <c r="B16" s="9">
        <f>Summary!$B$16</f>
        <v>70560214.284559131</v>
      </c>
      <c r="C16" s="9">
        <f>[1]Results!C18</f>
        <v>70560214.284559131</v>
      </c>
      <c r="D16" s="9">
        <f t="shared" ref="D16:D35" si="7">C16-B16</f>
        <v>0</v>
      </c>
      <c r="F16" s="9">
        <f>Summary!$D$16</f>
        <v>-497998.15233261522</v>
      </c>
      <c r="G16" s="9">
        <f>[1]Results!D18</f>
        <v>-497998.15233261522</v>
      </c>
      <c r="H16" s="9">
        <f t="shared" ref="H16:H35" si="8">G16-F16</f>
        <v>0</v>
      </c>
      <c r="J16" s="9">
        <f>Summary!$F$16</f>
        <v>70062216.132226512</v>
      </c>
      <c r="K16" s="9">
        <f>[1]Results!G18</f>
        <v>70062216.132226512</v>
      </c>
      <c r="L16" s="9">
        <f t="shared" ref="L16:L35" si="9">K16-J16</f>
        <v>0</v>
      </c>
      <c r="N16" s="9">
        <f>Summary!$H$16</f>
        <v>3422557.9804142676</v>
      </c>
      <c r="O16" s="9">
        <f>[1]Results!H18</f>
        <v>3422557.9804142676</v>
      </c>
      <c r="P16" s="9">
        <f t="shared" ref="P16:P35" si="10">O16-N16</f>
        <v>0</v>
      </c>
      <c r="R16" s="9">
        <f>Summary!$J$16</f>
        <v>73484774.112640783</v>
      </c>
      <c r="S16" s="9">
        <f>[1]Results!I18</f>
        <v>73484774.112640783</v>
      </c>
      <c r="T16" s="9">
        <f t="shared" ref="T16:T35" si="11">S16-R16</f>
        <v>0</v>
      </c>
      <c r="V16" s="9">
        <f>Summary!$L$16</f>
        <v>0</v>
      </c>
      <c r="W16" s="9">
        <f>[1]Results!H107</f>
        <v>0</v>
      </c>
      <c r="X16" s="9">
        <f t="shared" ref="X16:X35" si="12">W16-V16</f>
        <v>0</v>
      </c>
    </row>
    <row r="17" spans="1:24" x14ac:dyDescent="0.2">
      <c r="A17" s="11" t="s">
        <v>53</v>
      </c>
      <c r="B17" s="9">
        <f>Summary!$B$17</f>
        <v>0</v>
      </c>
      <c r="C17" s="9">
        <f>[1]Results!C19</f>
        <v>0</v>
      </c>
      <c r="D17" s="9">
        <f t="shared" si="7"/>
        <v>0</v>
      </c>
      <c r="F17" s="9">
        <f>Summary!$D$17</f>
        <v>0</v>
      </c>
      <c r="G17" s="9">
        <f>[1]Results!D19</f>
        <v>0</v>
      </c>
      <c r="H17" s="9">
        <f t="shared" si="8"/>
        <v>0</v>
      </c>
      <c r="J17" s="9">
        <f>Summary!$F$17</f>
        <v>0</v>
      </c>
      <c r="K17" s="9">
        <f>[1]Results!G19</f>
        <v>0</v>
      </c>
      <c r="L17" s="9">
        <f t="shared" si="9"/>
        <v>0</v>
      </c>
      <c r="N17" s="9">
        <f>Summary!$H$17</f>
        <v>0</v>
      </c>
      <c r="O17" s="9">
        <f>[1]Results!H19</f>
        <v>0</v>
      </c>
      <c r="P17" s="9">
        <f t="shared" si="10"/>
        <v>0</v>
      </c>
      <c r="R17" s="9">
        <f>Summary!$J$17</f>
        <v>0</v>
      </c>
      <c r="S17" s="9">
        <f>[1]Results!I19</f>
        <v>0</v>
      </c>
      <c r="T17" s="9">
        <f t="shared" si="11"/>
        <v>0</v>
      </c>
      <c r="V17" s="9">
        <f>Summary!$L$17</f>
        <v>0</v>
      </c>
      <c r="W17" s="9">
        <f>[1]Results!H108</f>
        <v>0</v>
      </c>
      <c r="X17" s="9">
        <f t="shared" si="12"/>
        <v>0</v>
      </c>
    </row>
    <row r="18" spans="1:24" x14ac:dyDescent="0.2">
      <c r="A18" s="11" t="s">
        <v>54</v>
      </c>
      <c r="B18" s="9">
        <f>Summary!$B$18</f>
        <v>6841672.160289838</v>
      </c>
      <c r="C18" s="9">
        <f>[1]Results!C20</f>
        <v>6841672.160289838</v>
      </c>
      <c r="D18" s="9">
        <f t="shared" si="7"/>
        <v>0</v>
      </c>
      <c r="F18" s="9">
        <f>Summary!$D$18</f>
        <v>19916.905241114458</v>
      </c>
      <c r="G18" s="9">
        <f>[1]Results!D20</f>
        <v>19916.905241114458</v>
      </c>
      <c r="H18" s="9">
        <f t="shared" si="8"/>
        <v>0</v>
      </c>
      <c r="J18" s="9">
        <f>Summary!$F$18</f>
        <v>6861589.0655309521</v>
      </c>
      <c r="K18" s="9">
        <f>[1]Results!G20</f>
        <v>6861589.0655309521</v>
      </c>
      <c r="L18" s="9">
        <f t="shared" si="9"/>
        <v>0</v>
      </c>
      <c r="N18" s="9">
        <f>Summary!$H$18</f>
        <v>-3454581.1455041068</v>
      </c>
      <c r="O18" s="9">
        <f>[1]Results!H20</f>
        <v>-3454581.1455041068</v>
      </c>
      <c r="P18" s="9">
        <f t="shared" si="10"/>
        <v>0</v>
      </c>
      <c r="R18" s="9">
        <f>Summary!$J$18</f>
        <v>3407007.9200268453</v>
      </c>
      <c r="S18" s="9">
        <f>[1]Results!I20</f>
        <v>3407007.9200268453</v>
      </c>
      <c r="T18" s="9">
        <f t="shared" si="11"/>
        <v>0</v>
      </c>
      <c r="V18" s="9">
        <f>Summary!$L$18</f>
        <v>0</v>
      </c>
      <c r="W18" s="9">
        <f>[1]Results!H109</f>
        <v>0</v>
      </c>
      <c r="X18" s="9">
        <f t="shared" si="12"/>
        <v>0</v>
      </c>
    </row>
    <row r="19" spans="1:24" x14ac:dyDescent="0.2">
      <c r="A19" s="11" t="s">
        <v>55</v>
      </c>
      <c r="B19" s="9">
        <f>Summary!$B$19</f>
        <v>63424679.078787863</v>
      </c>
      <c r="C19" s="9">
        <f>[1]Results!C21</f>
        <v>63424679.078787863</v>
      </c>
      <c r="D19" s="9">
        <f t="shared" si="7"/>
        <v>0</v>
      </c>
      <c r="F19" s="9">
        <f>Summary!$D$19</f>
        <v>-5518909.259914171</v>
      </c>
      <c r="G19" s="9">
        <f>[1]Results!D21</f>
        <v>-5518909.259914171</v>
      </c>
      <c r="H19" s="9">
        <f t="shared" si="8"/>
        <v>0</v>
      </c>
      <c r="J19" s="9">
        <f>Summary!$F$19</f>
        <v>57905769.818873689</v>
      </c>
      <c r="K19" s="9">
        <f>[1]Results!G21</f>
        <v>57905769.818873689</v>
      </c>
      <c r="L19" s="9">
        <f t="shared" si="9"/>
        <v>0</v>
      </c>
      <c r="N19" s="9">
        <f>Summary!$H$19</f>
        <v>3734508.1600795565</v>
      </c>
      <c r="O19" s="9">
        <f>[1]Results!H21</f>
        <v>3734508.1600795565</v>
      </c>
      <c r="P19" s="9">
        <f t="shared" si="10"/>
        <v>0</v>
      </c>
      <c r="R19" s="9">
        <f>Summary!$J$19</f>
        <v>61640277.978953242</v>
      </c>
      <c r="S19" s="9">
        <f>[1]Results!I21</f>
        <v>61640277.978953242</v>
      </c>
      <c r="T19" s="9">
        <f t="shared" si="11"/>
        <v>0</v>
      </c>
      <c r="V19" s="9">
        <f>Summary!$L$19</f>
        <v>0</v>
      </c>
      <c r="W19" s="9">
        <f>[1]Results!H110</f>
        <v>0</v>
      </c>
      <c r="X19" s="9">
        <f t="shared" si="12"/>
        <v>0</v>
      </c>
    </row>
    <row r="20" spans="1:24" x14ac:dyDescent="0.2">
      <c r="A20" s="11" t="s">
        <v>56</v>
      </c>
      <c r="B20" s="9">
        <f>Summary!$B$20</f>
        <v>32375787.706417251</v>
      </c>
      <c r="C20" s="9">
        <f>[1]Results!C22</f>
        <v>32375787.706417251</v>
      </c>
      <c r="D20" s="9">
        <f t="shared" si="7"/>
        <v>0</v>
      </c>
      <c r="F20" s="9">
        <f>Summary!$D$20</f>
        <v>-317434.99357527972</v>
      </c>
      <c r="G20" s="9">
        <f>[1]Results!D22</f>
        <v>-317434.99357527972</v>
      </c>
      <c r="H20" s="9">
        <f t="shared" si="8"/>
        <v>0</v>
      </c>
      <c r="J20" s="9">
        <f>Summary!$F$20</f>
        <v>32058352.712841973</v>
      </c>
      <c r="K20" s="9">
        <f>[1]Results!G22</f>
        <v>32058352.712841973</v>
      </c>
      <c r="L20" s="9">
        <f t="shared" si="9"/>
        <v>0</v>
      </c>
      <c r="N20" s="9">
        <f>Summary!$H$20</f>
        <v>-16058293.141053868</v>
      </c>
      <c r="O20" s="9">
        <f>[1]Results!H22</f>
        <v>-16058293.141053868</v>
      </c>
      <c r="P20" s="9">
        <f t="shared" si="10"/>
        <v>0</v>
      </c>
      <c r="R20" s="9">
        <f>Summary!$J$20</f>
        <v>16000059.571788104</v>
      </c>
      <c r="S20" s="9">
        <f>[1]Results!I22</f>
        <v>16000059.571788104</v>
      </c>
      <c r="T20" s="9">
        <f t="shared" si="11"/>
        <v>0</v>
      </c>
      <c r="V20" s="9">
        <f>Summary!$L$20</f>
        <v>0</v>
      </c>
      <c r="W20" s="9">
        <f>[1]Results!H111</f>
        <v>0</v>
      </c>
      <c r="X20" s="9">
        <f t="shared" si="12"/>
        <v>0</v>
      </c>
    </row>
    <row r="21" spans="1:24" x14ac:dyDescent="0.2">
      <c r="A21" s="11" t="s">
        <v>57</v>
      </c>
      <c r="B21" s="9">
        <f>Summary!$B$21</f>
        <v>11761768.183577189</v>
      </c>
      <c r="C21" s="9">
        <f>[1]Results!C23</f>
        <v>11761768.183577189</v>
      </c>
      <c r="D21" s="9">
        <f t="shared" si="7"/>
        <v>0</v>
      </c>
      <c r="F21" s="9">
        <f>Summary!$D$21</f>
        <v>219958.42013111283</v>
      </c>
      <c r="G21" s="9">
        <f>[1]Results!D23</f>
        <v>219958.42013111283</v>
      </c>
      <c r="H21" s="9">
        <f t="shared" si="8"/>
        <v>0</v>
      </c>
      <c r="J21" s="9">
        <f>Summary!$F$21</f>
        <v>11981726.603708303</v>
      </c>
      <c r="K21" s="9">
        <f>[1]Results!G23</f>
        <v>11981726.603708303</v>
      </c>
      <c r="L21" s="9">
        <f t="shared" si="9"/>
        <v>0</v>
      </c>
      <c r="N21" s="9">
        <f>Summary!$H$21</f>
        <v>393213.58067023917</v>
      </c>
      <c r="O21" s="9">
        <f>[1]Results!H23</f>
        <v>393213.58067023917</v>
      </c>
      <c r="P21" s="9">
        <f t="shared" si="10"/>
        <v>0</v>
      </c>
      <c r="R21" s="9">
        <f>Summary!$J$21</f>
        <v>12374940.184378542</v>
      </c>
      <c r="S21" s="9">
        <f>[1]Results!I23</f>
        <v>12374940.184378542</v>
      </c>
      <c r="T21" s="9">
        <f t="shared" si="11"/>
        <v>0</v>
      </c>
      <c r="V21" s="9">
        <f>Summary!$L$21</f>
        <v>0</v>
      </c>
      <c r="W21" s="9">
        <f>[1]Results!H112</f>
        <v>0</v>
      </c>
      <c r="X21" s="9">
        <f t="shared" si="12"/>
        <v>0</v>
      </c>
    </row>
    <row r="22" spans="1:24" x14ac:dyDescent="0.2">
      <c r="A22" s="11" t="s">
        <v>58</v>
      </c>
      <c r="B22" s="9">
        <f>Summary!$B$22</f>
        <v>5981921.510807883</v>
      </c>
      <c r="C22" s="9">
        <f>[1]Results!C24</f>
        <v>5981921.510807883</v>
      </c>
      <c r="D22" s="9">
        <f t="shared" si="7"/>
        <v>0</v>
      </c>
      <c r="F22" s="9">
        <f>Summary!$D$22</f>
        <v>100459.48209091679</v>
      </c>
      <c r="G22" s="9">
        <f>[1]Results!D24</f>
        <v>100459.48209091679</v>
      </c>
      <c r="H22" s="9">
        <f t="shared" si="8"/>
        <v>0</v>
      </c>
      <c r="J22" s="9">
        <f>Summary!$F$22</f>
        <v>6082380.9928987995</v>
      </c>
      <c r="K22" s="9">
        <f>[1]Results!G24</f>
        <v>6082380.9928987995</v>
      </c>
      <c r="L22" s="9">
        <f t="shared" si="9"/>
        <v>0</v>
      </c>
      <c r="N22" s="9">
        <f>Summary!$H$22</f>
        <v>1020628.8153572457</v>
      </c>
      <c r="O22" s="9">
        <f>[1]Results!H24</f>
        <v>1020628.8153572457</v>
      </c>
      <c r="P22" s="9">
        <f t="shared" si="10"/>
        <v>0</v>
      </c>
      <c r="R22" s="9">
        <f>Summary!$J$22</f>
        <v>7103009.808256045</v>
      </c>
      <c r="S22" s="9">
        <f>[1]Results!I24</f>
        <v>7103009.808256045</v>
      </c>
      <c r="T22" s="9">
        <f t="shared" si="11"/>
        <v>0</v>
      </c>
      <c r="V22" s="9">
        <f>Summary!$L$22</f>
        <v>153211.6013988975</v>
      </c>
      <c r="W22" s="9">
        <f>[1]Results!H113</f>
        <v>153211.59835819079</v>
      </c>
      <c r="X22" s="9">
        <f t="shared" si="12"/>
        <v>-3.0407067097257823E-3</v>
      </c>
    </row>
    <row r="23" spans="1:24" x14ac:dyDescent="0.2">
      <c r="A23" s="11" t="s">
        <v>59</v>
      </c>
      <c r="B23" s="9">
        <f>Summary!$B$23</f>
        <v>1003434.513881115</v>
      </c>
      <c r="C23" s="9">
        <f>[1]Results!C25</f>
        <v>1003434.513881115</v>
      </c>
      <c r="D23" s="9">
        <f t="shared" si="7"/>
        <v>0</v>
      </c>
      <c r="F23" s="9">
        <f>Summary!$D$23</f>
        <v>6542.2769399854187</v>
      </c>
      <c r="G23" s="9">
        <f>[1]Results!D25</f>
        <v>6542.2769399854187</v>
      </c>
      <c r="H23" s="9">
        <f t="shared" si="8"/>
        <v>0</v>
      </c>
      <c r="J23" s="9">
        <f>Summary!$F$23</f>
        <v>1009976.7908211005</v>
      </c>
      <c r="K23" s="9">
        <f>[1]Results!G25</f>
        <v>1009976.7908211005</v>
      </c>
      <c r="L23" s="9">
        <f t="shared" si="9"/>
        <v>0</v>
      </c>
      <c r="N23" s="9">
        <f>Summary!$H$23</f>
        <v>27737.068649543151</v>
      </c>
      <c r="O23" s="9">
        <f>[1]Results!H25</f>
        <v>27737.068649543151</v>
      </c>
      <c r="P23" s="9">
        <f t="shared" si="10"/>
        <v>0</v>
      </c>
      <c r="R23" s="9">
        <f>Summary!$J$23</f>
        <v>1037713.8594706436</v>
      </c>
      <c r="S23" s="9">
        <f>[1]Results!I25</f>
        <v>1037713.8594706436</v>
      </c>
      <c r="T23" s="9">
        <f t="shared" si="11"/>
        <v>0</v>
      </c>
      <c r="V23" s="9">
        <f>Summary!$L$23</f>
        <v>0</v>
      </c>
      <c r="W23" s="9">
        <f>[1]Results!H114</f>
        <v>0</v>
      </c>
      <c r="X23" s="9">
        <f t="shared" si="12"/>
        <v>0</v>
      </c>
    </row>
    <row r="24" spans="1:24" x14ac:dyDescent="0.2">
      <c r="A24" s="11" t="s">
        <v>60</v>
      </c>
      <c r="B24" s="9">
        <f>Summary!$B$24</f>
        <v>0</v>
      </c>
      <c r="C24" s="9">
        <f>[1]Results!C26</f>
        <v>0</v>
      </c>
      <c r="D24" s="9">
        <f t="shared" si="7"/>
        <v>0</v>
      </c>
      <c r="F24" s="9">
        <f>Summary!$D$24</f>
        <v>0</v>
      </c>
      <c r="G24" s="9">
        <f>[1]Results!D26</f>
        <v>0</v>
      </c>
      <c r="H24" s="9">
        <f t="shared" si="8"/>
        <v>0</v>
      </c>
      <c r="J24" s="9">
        <f>Summary!$F$24</f>
        <v>0</v>
      </c>
      <c r="K24" s="9">
        <f>[1]Results!G26</f>
        <v>0</v>
      </c>
      <c r="L24" s="9">
        <f t="shared" si="9"/>
        <v>0</v>
      </c>
      <c r="N24" s="9">
        <f>Summary!$H$24</f>
        <v>0</v>
      </c>
      <c r="O24" s="9">
        <f>[1]Results!H26</f>
        <v>0</v>
      </c>
      <c r="P24" s="9">
        <f t="shared" si="10"/>
        <v>0</v>
      </c>
      <c r="R24" s="9">
        <f>Summary!$J$24</f>
        <v>0</v>
      </c>
      <c r="S24" s="9">
        <f>[1]Results!I26</f>
        <v>0</v>
      </c>
      <c r="T24" s="9">
        <f t="shared" si="11"/>
        <v>0</v>
      </c>
      <c r="V24" s="9">
        <f>Summary!$L$24</f>
        <v>0</v>
      </c>
      <c r="W24" s="9">
        <f>[1]Results!H115</f>
        <v>0</v>
      </c>
      <c r="X24" s="9">
        <f t="shared" si="12"/>
        <v>0</v>
      </c>
    </row>
    <row r="25" spans="1:24" x14ac:dyDescent="0.2">
      <c r="A25" s="11" t="s">
        <v>61</v>
      </c>
      <c r="B25" s="9">
        <f>Summary!$B$25</f>
        <v>9015079.8499425296</v>
      </c>
      <c r="C25" s="9">
        <f>[1]Results!C27</f>
        <v>9015079.8499425296</v>
      </c>
      <c r="D25" s="9">
        <f t="shared" si="7"/>
        <v>0</v>
      </c>
      <c r="F25" s="9">
        <f>Summary!$D$25</f>
        <v>-15118.422651971403</v>
      </c>
      <c r="G25" s="9">
        <f>[1]Results!D27</f>
        <v>-15118.422651971403</v>
      </c>
      <c r="H25" s="9">
        <f t="shared" si="8"/>
        <v>0</v>
      </c>
      <c r="J25" s="9">
        <f>Summary!$F$25</f>
        <v>8999961.4272905588</v>
      </c>
      <c r="K25" s="9">
        <f>[1]Results!G27</f>
        <v>8999961.4272905588</v>
      </c>
      <c r="L25" s="9">
        <f t="shared" si="9"/>
        <v>0</v>
      </c>
      <c r="N25" s="9">
        <f>Summary!$H$25</f>
        <v>389702.259528631</v>
      </c>
      <c r="O25" s="9">
        <f>[1]Results!H27</f>
        <v>389702.259528631</v>
      </c>
      <c r="P25" s="9">
        <f t="shared" si="10"/>
        <v>0</v>
      </c>
      <c r="R25" s="9">
        <f>Summary!$J$25</f>
        <v>9389663.6868191902</v>
      </c>
      <c r="S25" s="9">
        <f>[1]Results!I27</f>
        <v>9389663.6868191902</v>
      </c>
      <c r="T25" s="9">
        <f t="shared" si="11"/>
        <v>0</v>
      </c>
      <c r="V25" s="9">
        <f>Summary!$L$25</f>
        <v>0</v>
      </c>
      <c r="W25" s="9">
        <f>[1]Results!H116</f>
        <v>0</v>
      </c>
      <c r="X25" s="9">
        <f t="shared" si="12"/>
        <v>0</v>
      </c>
    </row>
    <row r="26" spans="1:24" x14ac:dyDescent="0.2">
      <c r="A26" s="11" t="s">
        <v>62</v>
      </c>
      <c r="B26" s="7">
        <f>Summary!$B$26</f>
        <v>200964557.28826278</v>
      </c>
      <c r="C26" s="7">
        <f>[1]Results!C28</f>
        <v>200964557.28826278</v>
      </c>
      <c r="D26" s="7">
        <f t="shared" si="7"/>
        <v>0</v>
      </c>
      <c r="F26" s="7">
        <f>Summary!$D$26</f>
        <v>-6002583.744070909</v>
      </c>
      <c r="G26" s="7">
        <f>[1]Results!D28</f>
        <v>-6002583.744070909</v>
      </c>
      <c r="H26" s="7">
        <f t="shared" si="8"/>
        <v>0</v>
      </c>
      <c r="J26" s="7">
        <f>Summary!$F$26</f>
        <v>194961973.54419187</v>
      </c>
      <c r="K26" s="7">
        <f>[1]Results!G28</f>
        <v>194961973.54419187</v>
      </c>
      <c r="L26" s="7">
        <f t="shared" si="9"/>
        <v>0</v>
      </c>
      <c r="N26" s="7">
        <f>Summary!$H$26</f>
        <v>-10524526.421858491</v>
      </c>
      <c r="O26" s="7">
        <f>[1]Results!H28</f>
        <v>-10524526.421858491</v>
      </c>
      <c r="P26" s="7">
        <f t="shared" si="10"/>
        <v>0</v>
      </c>
      <c r="R26" s="7">
        <f>Summary!$J$26</f>
        <v>184437447.12233338</v>
      </c>
      <c r="S26" s="7">
        <f>[1]Results!I28</f>
        <v>184437447.12233338</v>
      </c>
      <c r="T26" s="7">
        <f t="shared" si="11"/>
        <v>0</v>
      </c>
      <c r="V26" s="7">
        <f>Summary!$L$26</f>
        <v>153211.6013988975</v>
      </c>
      <c r="W26" s="7">
        <f>W22</f>
        <v>153211.59835819079</v>
      </c>
      <c r="X26" s="7">
        <f t="shared" si="12"/>
        <v>-3.0407067097257823E-3</v>
      </c>
    </row>
    <row r="27" spans="1:24" x14ac:dyDescent="0.2">
      <c r="A27" s="11" t="s">
        <v>63</v>
      </c>
      <c r="B27" s="9">
        <f>Summary!$B$27</f>
        <v>48982077.056560166</v>
      </c>
      <c r="C27" s="9">
        <f>[1]Results!C29</f>
        <v>48982077.056560166</v>
      </c>
      <c r="D27" s="9">
        <f t="shared" si="7"/>
        <v>0</v>
      </c>
      <c r="F27" s="9">
        <f>Summary!$D$27</f>
        <v>-485148.8497193756</v>
      </c>
      <c r="G27" s="9">
        <f>[1]Results!D29</f>
        <v>-485148.8497193756</v>
      </c>
      <c r="H27" s="9">
        <f t="shared" si="8"/>
        <v>0</v>
      </c>
      <c r="J27" s="9">
        <f>Summary!$F$27</f>
        <v>48496928.206840791</v>
      </c>
      <c r="K27" s="9">
        <f>[1]Results!G29</f>
        <v>48496928.206840791</v>
      </c>
      <c r="L27" s="9">
        <f t="shared" si="9"/>
        <v>0</v>
      </c>
      <c r="N27" s="9">
        <f>Summary!$H$27</f>
        <v>76471624.207108542</v>
      </c>
      <c r="O27" s="9">
        <f>[1]Results!H29</f>
        <v>76471624.207108542</v>
      </c>
      <c r="P27" s="9">
        <f t="shared" si="10"/>
        <v>0</v>
      </c>
      <c r="R27" s="9">
        <f>Summary!$J$27</f>
        <v>124968552.41394934</v>
      </c>
      <c r="S27" s="9">
        <f>[1]Results!I29</f>
        <v>124968552.41394934</v>
      </c>
      <c r="T27" s="9">
        <f t="shared" si="11"/>
        <v>0</v>
      </c>
      <c r="V27" s="9">
        <f>Summary!$L$27</f>
        <v>0</v>
      </c>
      <c r="W27" s="9">
        <f>[1]Results!H118</f>
        <v>0</v>
      </c>
      <c r="X27" s="9">
        <f t="shared" si="12"/>
        <v>0</v>
      </c>
    </row>
    <row r="28" spans="1:24" x14ac:dyDescent="0.2">
      <c r="A28" s="11" t="s">
        <v>64</v>
      </c>
      <c r="B28" s="9">
        <f>Summary!$B$28</f>
        <v>5113848.0447265487</v>
      </c>
      <c r="C28" s="9">
        <f>[1]Results!C30</f>
        <v>5113848.0447265487</v>
      </c>
      <c r="D28" s="9">
        <f t="shared" si="7"/>
        <v>0</v>
      </c>
      <c r="F28" s="9">
        <f>Summary!$D$28</f>
        <v>0</v>
      </c>
      <c r="G28" s="9">
        <f>[1]Results!D30</f>
        <v>0</v>
      </c>
      <c r="H28" s="9">
        <f t="shared" si="8"/>
        <v>0</v>
      </c>
      <c r="J28" s="9">
        <f>Summary!$F$28</f>
        <v>5113848.0447265487</v>
      </c>
      <c r="K28" s="9">
        <f>[1]Results!G30</f>
        <v>5113848.0447265487</v>
      </c>
      <c r="L28" s="9">
        <f t="shared" si="9"/>
        <v>0</v>
      </c>
      <c r="N28" s="9">
        <f>Summary!$H$28</f>
        <v>2839433.8911172515</v>
      </c>
      <c r="O28" s="9">
        <f>[1]Results!H30</f>
        <v>2839433.8911172515</v>
      </c>
      <c r="P28" s="9">
        <f t="shared" si="10"/>
        <v>0</v>
      </c>
      <c r="R28" s="9">
        <f>Summary!$J$28</f>
        <v>7953281.9358438002</v>
      </c>
      <c r="S28" s="9">
        <f>[1]Results!I30</f>
        <v>7953281.9358438002</v>
      </c>
      <c r="T28" s="9">
        <f t="shared" si="11"/>
        <v>0</v>
      </c>
      <c r="V28" s="9">
        <f>Summary!$L$28</f>
        <v>0</v>
      </c>
      <c r="W28" s="9">
        <f>[1]Results!H119</f>
        <v>0</v>
      </c>
      <c r="X28" s="9">
        <f t="shared" si="12"/>
        <v>0</v>
      </c>
    </row>
    <row r="29" spans="1:24" x14ac:dyDescent="0.2">
      <c r="A29" s="11" t="s">
        <v>65</v>
      </c>
      <c r="B29" s="9">
        <f>Summary!$B$29</f>
        <v>22603339.188917331</v>
      </c>
      <c r="C29" s="9">
        <f>[1]Results!C31</f>
        <v>22603339.188917331</v>
      </c>
      <c r="D29" s="9">
        <f t="shared" si="7"/>
        <v>0</v>
      </c>
      <c r="F29" s="9">
        <f>Summary!$D$29</f>
        <v>-287844.94099917886</v>
      </c>
      <c r="G29" s="9">
        <f>[1]Results!D31</f>
        <v>-287844.94099917886</v>
      </c>
      <c r="H29" s="9">
        <f t="shared" si="8"/>
        <v>0</v>
      </c>
      <c r="J29" s="9">
        <f>Summary!$F$29</f>
        <v>22315494.247918151</v>
      </c>
      <c r="K29" s="9">
        <f>[1]Results!G31</f>
        <v>22315494.247918151</v>
      </c>
      <c r="L29" s="9">
        <f t="shared" si="9"/>
        <v>0</v>
      </c>
      <c r="N29" s="9">
        <f>Summary!$H$29</f>
        <v>2319053.6036546729</v>
      </c>
      <c r="O29" s="9">
        <f>[1]Results!H31</f>
        <v>2319053.2107340819</v>
      </c>
      <c r="P29" s="9">
        <f t="shared" si="10"/>
        <v>-0.3929205909371376</v>
      </c>
      <c r="R29" s="9">
        <f>Summary!$J$29</f>
        <v>24634547.851572823</v>
      </c>
      <c r="S29" s="9">
        <f>[1]Results!I31</f>
        <v>24634547.458652232</v>
      </c>
      <c r="T29" s="9">
        <f t="shared" si="11"/>
        <v>-0.3929205909371376</v>
      </c>
      <c r="V29" s="9">
        <f>Summary!$L$29</f>
        <v>1236157.9351535246</v>
      </c>
      <c r="W29" s="9">
        <f>[1]Results!H120</f>
        <v>1236157.9106201753</v>
      </c>
      <c r="X29" s="9">
        <f t="shared" si="12"/>
        <v>-2.4533349322155118E-2</v>
      </c>
    </row>
    <row r="30" spans="1:24" x14ac:dyDescent="0.2">
      <c r="A30" s="11" t="s">
        <v>66</v>
      </c>
      <c r="B30" s="9">
        <f>Summary!$B$30</f>
        <v>18041169.881600775</v>
      </c>
      <c r="C30" s="9">
        <f>[1]Results!C32</f>
        <v>18041169.881600775</v>
      </c>
      <c r="D30" s="9">
        <f t="shared" si="7"/>
        <v>0</v>
      </c>
      <c r="F30" s="9">
        <f>Summary!$D$30</f>
        <v>6872894.5879040686</v>
      </c>
      <c r="G30" s="9">
        <f>[1]Results!D32</f>
        <v>6872894.5880994629</v>
      </c>
      <c r="H30" s="9">
        <f t="shared" si="8"/>
        <v>1.9539427012205124E-4</v>
      </c>
      <c r="J30" s="9">
        <f>Summary!$F$30</f>
        <v>24914064.469504841</v>
      </c>
      <c r="K30" s="9">
        <f>[1]Results!G32</f>
        <v>24914064.46970024</v>
      </c>
      <c r="L30" s="9">
        <f t="shared" si="9"/>
        <v>1.9539892673492432E-4</v>
      </c>
      <c r="N30" s="9">
        <f>Summary!$H$30</f>
        <v>-22880080.09332227</v>
      </c>
      <c r="O30" s="9">
        <f>[1]Results!H32</f>
        <v>-22880080.011172071</v>
      </c>
      <c r="P30" s="9">
        <f t="shared" si="10"/>
        <v>8.2150198519229889E-2</v>
      </c>
      <c r="R30" s="9">
        <f>Summary!$J$30</f>
        <v>2033984.5134767424</v>
      </c>
      <c r="S30" s="9">
        <f>[1]Results!I32</f>
        <v>2033984.4585281685</v>
      </c>
      <c r="T30" s="9">
        <f t="shared" si="11"/>
        <v>-5.4948573932051659E-2</v>
      </c>
      <c r="V30" s="9">
        <f>Summary!$L$30</f>
        <v>5963489.4185827896</v>
      </c>
      <c r="W30" s="9">
        <f>[1]Results!H121</f>
        <v>5963489.3002286823</v>
      </c>
      <c r="X30" s="9">
        <f t="shared" si="12"/>
        <v>-0.11835410725325346</v>
      </c>
    </row>
    <row r="31" spans="1:24" x14ac:dyDescent="0.2">
      <c r="A31" s="11" t="s">
        <v>67</v>
      </c>
      <c r="B31" s="9">
        <f>Summary!$B$31</f>
        <v>0</v>
      </c>
      <c r="C31" s="9">
        <f>[1]Results!C33</f>
        <v>0</v>
      </c>
      <c r="D31" s="9">
        <f t="shared" si="7"/>
        <v>0</v>
      </c>
      <c r="F31" s="9">
        <f>Summary!$D$31</f>
        <v>0</v>
      </c>
      <c r="G31" s="9">
        <f>[1]Results!D33</f>
        <v>0</v>
      </c>
      <c r="H31" s="9">
        <f t="shared" si="8"/>
        <v>0</v>
      </c>
      <c r="J31" s="9">
        <f>Summary!$F$31</f>
        <v>0</v>
      </c>
      <c r="K31" s="9">
        <f>[1]Results!G33</f>
        <v>0</v>
      </c>
      <c r="L31" s="9">
        <f t="shared" si="9"/>
        <v>0</v>
      </c>
      <c r="N31" s="9">
        <f>Summary!$H$31</f>
        <v>0</v>
      </c>
      <c r="O31" s="9">
        <f>[1]Results!H33</f>
        <v>0</v>
      </c>
      <c r="P31" s="9">
        <f t="shared" si="10"/>
        <v>0</v>
      </c>
      <c r="R31" s="9">
        <f>Summary!$J$31</f>
        <v>0</v>
      </c>
      <c r="S31" s="9">
        <f>[1]Results!I33</f>
        <v>0</v>
      </c>
      <c r="T31" s="9">
        <f t="shared" si="11"/>
        <v>0</v>
      </c>
      <c r="V31" s="9">
        <f>Summary!$L$31</f>
        <v>0</v>
      </c>
      <c r="W31" s="9">
        <f>[1]Results!H122</f>
        <v>0</v>
      </c>
      <c r="X31" s="9">
        <f t="shared" si="12"/>
        <v>0</v>
      </c>
    </row>
    <row r="32" spans="1:24" x14ac:dyDescent="0.2">
      <c r="A32" s="11" t="s">
        <v>68</v>
      </c>
      <c r="B32" s="9">
        <f>Summary!$B$32</f>
        <v>-7119820.7090670364</v>
      </c>
      <c r="C32" s="9">
        <f>[1]Results!C34</f>
        <v>-7119820.7090670364</v>
      </c>
      <c r="D32" s="9">
        <f t="shared" si="7"/>
        <v>0</v>
      </c>
      <c r="F32" s="9">
        <f>Summary!$D$32</f>
        <v>-4911050.4623990003</v>
      </c>
      <c r="G32" s="9">
        <f>[1]Results!D34</f>
        <v>-4911050.4623990003</v>
      </c>
      <c r="H32" s="9">
        <f t="shared" si="8"/>
        <v>0</v>
      </c>
      <c r="J32" s="9">
        <f>Summary!$F$32</f>
        <v>-12030871.171466038</v>
      </c>
      <c r="K32" s="9">
        <f>[1]Results!G34</f>
        <v>-12030871.171466038</v>
      </c>
      <c r="L32" s="9">
        <f t="shared" si="9"/>
        <v>0</v>
      </c>
      <c r="N32" s="9">
        <f>Summary!$H$32</f>
        <v>-7298681.5186132751</v>
      </c>
      <c r="O32" s="9">
        <f>[1]Results!H34</f>
        <v>-7298681.5186132751</v>
      </c>
      <c r="P32" s="9">
        <f t="shared" si="10"/>
        <v>0</v>
      </c>
      <c r="R32" s="9">
        <f>Summary!$J$32</f>
        <v>-19329552.690079313</v>
      </c>
      <c r="S32" s="9">
        <f>[1]Results!I34</f>
        <v>-19329552.690079313</v>
      </c>
      <c r="T32" s="9">
        <f t="shared" si="11"/>
        <v>0</v>
      </c>
      <c r="V32" s="9">
        <f>Summary!$L$32</f>
        <v>0</v>
      </c>
      <c r="W32" s="9">
        <f>[1]Results!H123</f>
        <v>0</v>
      </c>
      <c r="X32" s="9">
        <f t="shared" si="12"/>
        <v>0</v>
      </c>
    </row>
    <row r="33" spans="1:24" x14ac:dyDescent="0.2">
      <c r="A33" s="11" t="s">
        <v>69</v>
      </c>
      <c r="B33" s="9">
        <f>Summary!$B$33</f>
        <v>0</v>
      </c>
      <c r="C33" s="9">
        <f>[1]Results!C35</f>
        <v>0</v>
      </c>
      <c r="D33" s="9">
        <f t="shared" si="7"/>
        <v>0</v>
      </c>
      <c r="F33" s="9">
        <f>Summary!$D$33</f>
        <v>0</v>
      </c>
      <c r="G33" s="9">
        <f>[1]Results!D35</f>
        <v>0</v>
      </c>
      <c r="H33" s="9">
        <f t="shared" si="8"/>
        <v>0</v>
      </c>
      <c r="J33" s="9">
        <f>Summary!$F$33</f>
        <v>0</v>
      </c>
      <c r="K33" s="9">
        <f>[1]Results!G35</f>
        <v>0</v>
      </c>
      <c r="L33" s="9">
        <f t="shared" si="9"/>
        <v>0</v>
      </c>
      <c r="N33" s="9">
        <f>Summary!$H$33</f>
        <v>0</v>
      </c>
      <c r="O33" s="9">
        <f>[1]Results!H35</f>
        <v>0</v>
      </c>
      <c r="P33" s="9">
        <f t="shared" si="10"/>
        <v>0</v>
      </c>
      <c r="R33" s="9">
        <f>Summary!$J$33</f>
        <v>0</v>
      </c>
      <c r="S33" s="9">
        <f>[1]Results!I35</f>
        <v>0</v>
      </c>
      <c r="T33" s="9">
        <f t="shared" si="11"/>
        <v>0</v>
      </c>
      <c r="V33" s="9">
        <f>Summary!$L$33</f>
        <v>0</v>
      </c>
      <c r="W33" s="9">
        <f>[1]Results!H124</f>
        <v>0</v>
      </c>
      <c r="X33" s="9">
        <f t="shared" si="12"/>
        <v>0</v>
      </c>
    </row>
    <row r="34" spans="1:24" x14ac:dyDescent="0.2">
      <c r="A34" s="11" t="s">
        <v>70</v>
      </c>
      <c r="B34" s="9">
        <f>Summary!$B$34</f>
        <v>-260133.79775457806</v>
      </c>
      <c r="C34" s="9">
        <f>[1]Results!C36</f>
        <v>-260133.79775457806</v>
      </c>
      <c r="D34" s="9">
        <f t="shared" si="7"/>
        <v>0</v>
      </c>
      <c r="F34" s="9">
        <f>Summary!$D$34</f>
        <v>325568.89931887086</v>
      </c>
      <c r="G34" s="9">
        <f>[1]Results!D36</f>
        <v>325568.89931887086</v>
      </c>
      <c r="H34" s="9">
        <f t="shared" si="8"/>
        <v>0</v>
      </c>
      <c r="J34" s="9">
        <f>Summary!$F$34</f>
        <v>65435.101564292796</v>
      </c>
      <c r="K34" s="9">
        <f>[1]Results!G36</f>
        <v>65435.101564292796</v>
      </c>
      <c r="L34" s="9">
        <f t="shared" si="9"/>
        <v>0</v>
      </c>
      <c r="N34" s="9">
        <f>Summary!$H$34</f>
        <v>0</v>
      </c>
      <c r="O34" s="9">
        <f>[1]Results!H36</f>
        <v>0</v>
      </c>
      <c r="P34" s="9">
        <f t="shared" si="10"/>
        <v>0</v>
      </c>
      <c r="R34" s="9">
        <f>Summary!$J$34</f>
        <v>65435.101564292796</v>
      </c>
      <c r="S34" s="9">
        <f>[1]Results!I36</f>
        <v>65435.101564292796</v>
      </c>
      <c r="T34" s="9">
        <f t="shared" si="11"/>
        <v>0</v>
      </c>
      <c r="V34" s="9">
        <f>Summary!$L$34</f>
        <v>0</v>
      </c>
      <c r="W34" s="9">
        <f>[1]Results!H125</f>
        <v>0</v>
      </c>
      <c r="X34" s="9">
        <f t="shared" si="12"/>
        <v>0</v>
      </c>
    </row>
    <row r="35" spans="1:24" x14ac:dyDescent="0.2">
      <c r="A35" s="11" t="s">
        <v>71</v>
      </c>
      <c r="B35" s="7">
        <f>Summary!$B$35</f>
        <v>288325036.953246</v>
      </c>
      <c r="C35" s="7">
        <f>[1]Results!C37</f>
        <v>288325036.953246</v>
      </c>
      <c r="D35" s="7">
        <f t="shared" si="7"/>
        <v>0</v>
      </c>
      <c r="F35" s="7">
        <f>Summary!$D$35</f>
        <v>-4488164.5099655241</v>
      </c>
      <c r="G35" s="7">
        <f>[1]Results!D37</f>
        <v>-4488164.5097701298</v>
      </c>
      <c r="H35" s="7">
        <f t="shared" si="8"/>
        <v>1.9539427012205124E-4</v>
      </c>
      <c r="J35" s="7">
        <f>Summary!$F$35</f>
        <v>283836872.4432804</v>
      </c>
      <c r="K35" s="7">
        <f>[1]Results!G37</f>
        <v>283836872.44347578</v>
      </c>
      <c r="L35" s="7">
        <f t="shared" si="9"/>
        <v>1.9538402557373047E-4</v>
      </c>
      <c r="N35" s="7">
        <f>Summary!$H$35</f>
        <v>40926823.668086424</v>
      </c>
      <c r="O35" s="7">
        <f>[1]Results!H37</f>
        <v>40926823.357316032</v>
      </c>
      <c r="P35" s="7">
        <f t="shared" si="10"/>
        <v>-0.31077039241790771</v>
      </c>
      <c r="R35" s="7">
        <f>Summary!$J$35</f>
        <v>324763696.24866104</v>
      </c>
      <c r="S35" s="7">
        <f>[1]Results!I37</f>
        <v>324763695.80079192</v>
      </c>
      <c r="T35" s="7">
        <f t="shared" si="11"/>
        <v>-0.44786912202835083</v>
      </c>
      <c r="V35" s="7">
        <f>Summary!$L$35</f>
        <v>7352858.9551352113</v>
      </c>
      <c r="W35" s="7">
        <f>[1]Results!H126</f>
        <v>7352858.8092070483</v>
      </c>
      <c r="X35" s="7">
        <f t="shared" si="12"/>
        <v>-0.14592816308140755</v>
      </c>
    </row>
    <row r="36" spans="1:24" x14ac:dyDescent="0.2">
      <c r="A36" s="11"/>
      <c r="B36" s="9"/>
      <c r="C36" s="9"/>
      <c r="D36" s="9"/>
      <c r="F36" s="9"/>
      <c r="G36" s="9"/>
      <c r="H36" s="9"/>
      <c r="J36" s="9"/>
      <c r="K36" s="9"/>
      <c r="L36" s="9"/>
      <c r="N36" s="9"/>
      <c r="O36" s="9"/>
      <c r="P36" s="9"/>
      <c r="R36" s="9"/>
      <c r="S36" s="9"/>
      <c r="T36" s="9"/>
      <c r="V36" s="9"/>
      <c r="W36" s="9"/>
      <c r="X36" s="9"/>
    </row>
    <row r="37" spans="1:24" ht="13.5" thickBot="1" x14ac:dyDescent="0.25">
      <c r="A37" s="11" t="s">
        <v>72</v>
      </c>
      <c r="B37" s="10">
        <f>Summary!$B$37</f>
        <v>65862798.296151578</v>
      </c>
      <c r="C37" s="10">
        <f>[1]Results!C39</f>
        <v>65862798.296151578</v>
      </c>
      <c r="D37" s="10">
        <f>C37-B37</f>
        <v>0</v>
      </c>
      <c r="F37" s="10">
        <f>Summary!$D$37</f>
        <v>26987480.487463627</v>
      </c>
      <c r="G37" s="10">
        <f>[1]Results!D39</f>
        <v>26987480.487268232</v>
      </c>
      <c r="H37" s="10">
        <f>G37-F37</f>
        <v>-1.9539520144462585E-4</v>
      </c>
      <c r="J37" s="10">
        <f>Summary!$F$37</f>
        <v>92850278.783615232</v>
      </c>
      <c r="K37" s="10">
        <f>[1]Results!G39</f>
        <v>92850278.783419847</v>
      </c>
      <c r="L37" s="10">
        <f>K37-J37</f>
        <v>-1.9538402557373047E-4</v>
      </c>
      <c r="N37" s="10">
        <f>Summary!$H$37</f>
        <v>-37106894.12350022</v>
      </c>
      <c r="O37" s="10">
        <f>[1]Results!H39</f>
        <v>-37106893.812729828</v>
      </c>
      <c r="P37" s="10">
        <f>O37-N37</f>
        <v>0.31077039241790771</v>
      </c>
      <c r="R37" s="10">
        <f>Summary!$J$37</f>
        <v>55743384.52282083</v>
      </c>
      <c r="S37" s="10">
        <f>[1]Results!I39</f>
        <v>55743384.970689952</v>
      </c>
      <c r="T37" s="10">
        <f>S37-R37</f>
        <v>0.44786912202835083</v>
      </c>
      <c r="V37" s="10">
        <f>Summary!$L$37</f>
        <v>22434079.241335258</v>
      </c>
      <c r="W37" s="10">
        <f>[1]Results!H128</f>
        <v>22434078.796098378</v>
      </c>
      <c r="X37" s="10">
        <f>W37-V37</f>
        <v>-0.44523688033223152</v>
      </c>
    </row>
    <row r="38" spans="1:24" ht="13.5" thickTop="1" x14ac:dyDescent="0.2">
      <c r="A38" s="11"/>
      <c r="B38" s="9"/>
      <c r="C38" s="9"/>
      <c r="D38" s="9"/>
      <c r="F38" s="9"/>
      <c r="G38" s="9"/>
      <c r="H38" s="9"/>
      <c r="J38" s="9"/>
      <c r="K38" s="9"/>
      <c r="L38" s="9"/>
      <c r="N38" s="9"/>
      <c r="O38" s="9"/>
      <c r="P38" s="9"/>
      <c r="R38" s="9"/>
      <c r="S38" s="9"/>
      <c r="T38" s="9"/>
      <c r="V38" s="9"/>
      <c r="W38" s="9"/>
      <c r="X38" s="9"/>
    </row>
    <row r="39" spans="1:24" x14ac:dyDescent="0.2">
      <c r="A39" s="11" t="s">
        <v>73</v>
      </c>
      <c r="B39" s="9"/>
      <c r="C39" s="9"/>
      <c r="D39" s="9"/>
      <c r="F39" s="9"/>
      <c r="G39" s="9"/>
      <c r="H39" s="9"/>
      <c r="J39" s="9"/>
      <c r="K39" s="9"/>
      <c r="L39" s="9"/>
      <c r="N39" s="9"/>
      <c r="O39" s="9"/>
      <c r="P39" s="9"/>
      <c r="R39" s="9"/>
      <c r="S39" s="9"/>
      <c r="T39" s="9"/>
      <c r="V39" s="9"/>
      <c r="W39" s="9"/>
      <c r="X39" s="9"/>
    </row>
    <row r="40" spans="1:24" x14ac:dyDescent="0.2">
      <c r="A40" s="11" t="s">
        <v>74</v>
      </c>
      <c r="B40" s="9">
        <f>Summary!$B$40</f>
        <v>1869127179.5559554</v>
      </c>
      <c r="C40" s="9">
        <f>[1]Results!C42</f>
        <v>1869127179.5559554</v>
      </c>
      <c r="D40" s="9">
        <f t="shared" ref="D40:D51" si="13">C40-B40</f>
        <v>0</v>
      </c>
      <c r="F40" s="9">
        <f>Summary!$D$40</f>
        <v>28841635.412403762</v>
      </c>
      <c r="G40" s="9">
        <f>[1]Results!D42</f>
        <v>28841635.412403777</v>
      </c>
      <c r="H40" s="9">
        <f t="shared" ref="H40:H51" si="14">G40-F40</f>
        <v>0</v>
      </c>
      <c r="J40" s="9">
        <f>Summary!$F$40</f>
        <v>1897968814.9683592</v>
      </c>
      <c r="K40" s="9">
        <f>[1]Results!G42</f>
        <v>1897968814.9683592</v>
      </c>
      <c r="L40" s="9">
        <f t="shared" ref="L40:L51" si="15">K40-J40</f>
        <v>0</v>
      </c>
      <c r="N40" s="9">
        <f>Summary!$H$40</f>
        <v>196443909.24116504</v>
      </c>
      <c r="O40" s="9">
        <f>[1]Results!H42</f>
        <v>196443909.24116501</v>
      </c>
      <c r="P40" s="9">
        <f t="shared" ref="P40:P51" si="16">O40-N40</f>
        <v>0</v>
      </c>
      <c r="R40" s="9">
        <f>Summary!$J$40</f>
        <v>2094412724.2095242</v>
      </c>
      <c r="S40" s="9">
        <f>[1]Results!I42</f>
        <v>2094412724.2095242</v>
      </c>
      <c r="T40" s="9">
        <f t="shared" ref="T40:T51" si="17">S40-R40</f>
        <v>0</v>
      </c>
      <c r="V40" s="9">
        <f>Summary!$L$40</f>
        <v>0</v>
      </c>
      <c r="W40" s="9">
        <f>[1]Results!H131</f>
        <v>0</v>
      </c>
      <c r="X40" s="9">
        <f t="shared" ref="X40:X51" si="18">W40-V40</f>
        <v>0</v>
      </c>
    </row>
    <row r="41" spans="1:24" x14ac:dyDescent="0.2">
      <c r="A41" s="11" t="s">
        <v>75</v>
      </c>
      <c r="B41" s="9">
        <f>Summary!$B$41</f>
        <v>34942.962564657755</v>
      </c>
      <c r="C41" s="9">
        <f>[1]Results!C43</f>
        <v>34942.962564657755</v>
      </c>
      <c r="D41" s="9">
        <f t="shared" si="13"/>
        <v>0</v>
      </c>
      <c r="F41" s="9">
        <f>Summary!$D$41</f>
        <v>0</v>
      </c>
      <c r="G41" s="9">
        <f>[1]Results!D43</f>
        <v>0</v>
      </c>
      <c r="H41" s="9">
        <f t="shared" si="14"/>
        <v>0</v>
      </c>
      <c r="J41" s="9">
        <f>Summary!$F$41</f>
        <v>34942.962564657755</v>
      </c>
      <c r="K41" s="9">
        <f>[1]Results!G43</f>
        <v>34942.962564657755</v>
      </c>
      <c r="L41" s="9">
        <f t="shared" si="15"/>
        <v>0</v>
      </c>
      <c r="N41" s="9">
        <f>Summary!$H$41</f>
        <v>0</v>
      </c>
      <c r="O41" s="9">
        <f>[1]Results!H43</f>
        <v>0</v>
      </c>
      <c r="P41" s="9">
        <f t="shared" si="16"/>
        <v>0</v>
      </c>
      <c r="R41" s="9">
        <f>Summary!$J$41</f>
        <v>34942.962564657755</v>
      </c>
      <c r="S41" s="9">
        <f>[1]Results!I43</f>
        <v>34942.962564657755</v>
      </c>
      <c r="T41" s="9">
        <f t="shared" si="17"/>
        <v>0</v>
      </c>
      <c r="V41" s="9">
        <f>Summary!$L$41</f>
        <v>0</v>
      </c>
      <c r="W41" s="9">
        <f>[1]Results!H132</f>
        <v>0</v>
      </c>
      <c r="X41" s="9">
        <f t="shared" si="18"/>
        <v>0</v>
      </c>
    </row>
    <row r="42" spans="1:24" x14ac:dyDescent="0.2">
      <c r="A42" s="11" t="s">
        <v>76</v>
      </c>
      <c r="B42" s="9">
        <f>Summary!$B$42</f>
        <v>4541409.743199857</v>
      </c>
      <c r="C42" s="9">
        <f>[1]Results!C44</f>
        <v>4541409.743199857</v>
      </c>
      <c r="D42" s="9">
        <f t="shared" si="13"/>
        <v>0</v>
      </c>
      <c r="F42" s="9">
        <f>Summary!$D$42</f>
        <v>-4016276.2885573972</v>
      </c>
      <c r="G42" s="9">
        <f>[1]Results!D44</f>
        <v>-4016276.2885573972</v>
      </c>
      <c r="H42" s="9">
        <f t="shared" si="14"/>
        <v>0</v>
      </c>
      <c r="J42" s="9">
        <f>Summary!$F$42</f>
        <v>525133.45464245975</v>
      </c>
      <c r="K42" s="9">
        <f>[1]Results!G44</f>
        <v>525133.45464245975</v>
      </c>
      <c r="L42" s="9">
        <f t="shared" si="15"/>
        <v>0</v>
      </c>
      <c r="N42" s="9">
        <f>Summary!$H$42</f>
        <v>155438.60167140973</v>
      </c>
      <c r="O42" s="9">
        <f>[1]Results!H44</f>
        <v>155438.60167140979</v>
      </c>
      <c r="P42" s="9">
        <f t="shared" si="16"/>
        <v>0</v>
      </c>
      <c r="R42" s="9">
        <f>Summary!$J$42</f>
        <v>680572.05631386954</v>
      </c>
      <c r="S42" s="9">
        <f>[1]Results!I44</f>
        <v>680572.05631386954</v>
      </c>
      <c r="T42" s="9">
        <f t="shared" si="17"/>
        <v>0</v>
      </c>
      <c r="V42" s="9">
        <f>Summary!$L$42</f>
        <v>0</v>
      </c>
      <c r="W42" s="9">
        <f>[1]Results!H133</f>
        <v>0</v>
      </c>
      <c r="X42" s="9">
        <f t="shared" si="18"/>
        <v>0</v>
      </c>
    </row>
    <row r="43" spans="1:24" x14ac:dyDescent="0.2">
      <c r="A43" s="11" t="s">
        <v>77</v>
      </c>
      <c r="B43" s="9">
        <f>Summary!$B$43</f>
        <v>0</v>
      </c>
      <c r="C43" s="9">
        <f>[1]Results!C45</f>
        <v>0</v>
      </c>
      <c r="D43" s="9">
        <f t="shared" si="13"/>
        <v>0</v>
      </c>
      <c r="F43" s="9">
        <f>Summary!$D$43</f>
        <v>0</v>
      </c>
      <c r="G43" s="9">
        <f>[1]Results!D45</f>
        <v>0</v>
      </c>
      <c r="H43" s="9">
        <f t="shared" si="14"/>
        <v>0</v>
      </c>
      <c r="J43" s="9">
        <f>Summary!$F$43</f>
        <v>0</v>
      </c>
      <c r="K43" s="9">
        <f>[1]Results!G45</f>
        <v>0</v>
      </c>
      <c r="L43" s="9">
        <f t="shared" si="15"/>
        <v>0</v>
      </c>
      <c r="N43" s="9">
        <f>Summary!$H$43</f>
        <v>0</v>
      </c>
      <c r="O43" s="9">
        <f>[1]Results!H45</f>
        <v>0</v>
      </c>
      <c r="P43" s="9">
        <f t="shared" si="16"/>
        <v>0</v>
      </c>
      <c r="R43" s="9">
        <f>Summary!$J$43</f>
        <v>0</v>
      </c>
      <c r="S43" s="9">
        <f>[1]Results!I45</f>
        <v>0</v>
      </c>
      <c r="T43" s="9">
        <f t="shared" si="17"/>
        <v>0</v>
      </c>
      <c r="V43" s="9">
        <f>Summary!$L$43</f>
        <v>0</v>
      </c>
      <c r="W43" s="9">
        <f>[1]Results!H134</f>
        <v>0</v>
      </c>
      <c r="X43" s="9">
        <f t="shared" si="18"/>
        <v>0</v>
      </c>
    </row>
    <row r="44" spans="1:24" x14ac:dyDescent="0.2">
      <c r="A44" s="11" t="s">
        <v>78</v>
      </c>
      <c r="B44" s="9">
        <f>Summary!$B$44</f>
        <v>0</v>
      </c>
      <c r="C44" s="9">
        <f>[1]Results!C46</f>
        <v>0</v>
      </c>
      <c r="D44" s="9">
        <f t="shared" si="13"/>
        <v>0</v>
      </c>
      <c r="F44" s="9">
        <f>Summary!$D$44</f>
        <v>0</v>
      </c>
      <c r="G44" s="9">
        <f>[1]Results!D46</f>
        <v>0</v>
      </c>
      <c r="H44" s="9">
        <f t="shared" si="14"/>
        <v>0</v>
      </c>
      <c r="J44" s="9">
        <f>Summary!$F$44</f>
        <v>0</v>
      </c>
      <c r="K44" s="9">
        <f>[1]Results!G46</f>
        <v>0</v>
      </c>
      <c r="L44" s="9">
        <f t="shared" si="15"/>
        <v>0</v>
      </c>
      <c r="N44" s="9">
        <f>Summary!$H$44</f>
        <v>0</v>
      </c>
      <c r="O44" s="9">
        <f>[1]Results!H46</f>
        <v>0</v>
      </c>
      <c r="P44" s="9">
        <f t="shared" si="16"/>
        <v>0</v>
      </c>
      <c r="R44" s="9">
        <f>Summary!$J$44</f>
        <v>0</v>
      </c>
      <c r="S44" s="9">
        <f>[1]Results!I46</f>
        <v>0</v>
      </c>
      <c r="T44" s="9">
        <f t="shared" si="17"/>
        <v>0</v>
      </c>
      <c r="V44" s="9">
        <f>Summary!$L$44</f>
        <v>0</v>
      </c>
      <c r="W44" s="9">
        <f>[1]Results!H135</f>
        <v>0</v>
      </c>
      <c r="X44" s="9">
        <f t="shared" si="18"/>
        <v>0</v>
      </c>
    </row>
    <row r="45" spans="1:24" x14ac:dyDescent="0.2">
      <c r="A45" s="11" t="s">
        <v>79</v>
      </c>
      <c r="B45" s="9">
        <f>Summary!$B$45</f>
        <v>2033329.3412143218</v>
      </c>
      <c r="C45" s="9">
        <f>[1]Results!C47</f>
        <v>2033329.3412143218</v>
      </c>
      <c r="D45" s="9">
        <f t="shared" si="13"/>
        <v>0</v>
      </c>
      <c r="F45" s="9">
        <f>Summary!$D$45</f>
        <v>-2033329.3412143218</v>
      </c>
      <c r="G45" s="9">
        <f>[1]Results!D47</f>
        <v>-2033329.3412143218</v>
      </c>
      <c r="H45" s="9">
        <f t="shared" si="14"/>
        <v>0</v>
      </c>
      <c r="J45" s="9">
        <f>Summary!$F$45</f>
        <v>0</v>
      </c>
      <c r="K45" s="9">
        <f>[1]Results!G47</f>
        <v>0</v>
      </c>
      <c r="L45" s="9">
        <f t="shared" si="15"/>
        <v>0</v>
      </c>
      <c r="N45" s="9">
        <f>Summary!$H$45</f>
        <v>0</v>
      </c>
      <c r="O45" s="9">
        <f>[1]Results!H47</f>
        <v>0</v>
      </c>
      <c r="P45" s="9">
        <f t="shared" si="16"/>
        <v>0</v>
      </c>
      <c r="R45" s="9">
        <f>Summary!$J$45</f>
        <v>0</v>
      </c>
      <c r="S45" s="9">
        <f>[1]Results!I47</f>
        <v>0</v>
      </c>
      <c r="T45" s="9">
        <f t="shared" si="17"/>
        <v>0</v>
      </c>
      <c r="V45" s="9">
        <f>Summary!$L$45</f>
        <v>0</v>
      </c>
      <c r="W45" s="9">
        <f>[1]Results!H136</f>
        <v>0</v>
      </c>
      <c r="X45" s="9">
        <f t="shared" si="18"/>
        <v>0</v>
      </c>
    </row>
    <row r="46" spans="1:24" x14ac:dyDescent="0.2">
      <c r="A46" s="11" t="s">
        <v>80</v>
      </c>
      <c r="B46" s="9">
        <f>Summary!$B$46</f>
        <v>5721215.855558129</v>
      </c>
      <c r="C46" s="9">
        <f>[1]Results!C48</f>
        <v>5721215.855558129</v>
      </c>
      <c r="D46" s="9">
        <f t="shared" si="13"/>
        <v>0</v>
      </c>
      <c r="F46" s="9">
        <f>Summary!$D$46</f>
        <v>-5721215.8555581281</v>
      </c>
      <c r="G46" s="9">
        <f>[1]Results!D48</f>
        <v>-5721215.8555581281</v>
      </c>
      <c r="H46" s="9">
        <f t="shared" si="14"/>
        <v>0</v>
      </c>
      <c r="J46" s="9">
        <f>Summary!$F$46</f>
        <v>0</v>
      </c>
      <c r="K46" s="9">
        <f>[1]Results!G48</f>
        <v>0</v>
      </c>
      <c r="L46" s="9">
        <f t="shared" si="15"/>
        <v>0</v>
      </c>
      <c r="N46" s="9">
        <f>Summary!$H$46</f>
        <v>0</v>
      </c>
      <c r="O46" s="9">
        <f>[1]Results!H48</f>
        <v>0</v>
      </c>
      <c r="P46" s="9">
        <f t="shared" si="16"/>
        <v>0</v>
      </c>
      <c r="R46" s="9">
        <f>Summary!$J$46</f>
        <v>0</v>
      </c>
      <c r="S46" s="9">
        <f>[1]Results!I48</f>
        <v>0</v>
      </c>
      <c r="T46" s="9">
        <f t="shared" si="17"/>
        <v>0</v>
      </c>
      <c r="V46" s="9">
        <f>Summary!$L$46</f>
        <v>0</v>
      </c>
      <c r="W46" s="9">
        <f>[1]Results!H137</f>
        <v>0</v>
      </c>
      <c r="X46" s="9">
        <f t="shared" si="18"/>
        <v>0</v>
      </c>
    </row>
    <row r="47" spans="1:24" x14ac:dyDescent="0.2">
      <c r="A47" s="11" t="s">
        <v>81</v>
      </c>
      <c r="B47" s="9">
        <f>Summary!$B$47</f>
        <v>8818868.4866138063</v>
      </c>
      <c r="C47" s="9">
        <f>[1]Results!C49</f>
        <v>8818868.4866138063</v>
      </c>
      <c r="D47" s="9">
        <f t="shared" si="13"/>
        <v>0</v>
      </c>
      <c r="F47" s="9">
        <f>Summary!$D$47</f>
        <v>-8818868.4865037892</v>
      </c>
      <c r="G47" s="9">
        <f>[1]Results!D49</f>
        <v>-8818868.4865037892</v>
      </c>
      <c r="H47" s="9">
        <f t="shared" si="14"/>
        <v>0</v>
      </c>
      <c r="J47" s="9">
        <f>Summary!$F$47</f>
        <v>1.1001713573932648E-4</v>
      </c>
      <c r="K47" s="9">
        <f>[1]Results!G49</f>
        <v>1.1001713573932648E-4</v>
      </c>
      <c r="L47" s="9">
        <f t="shared" si="15"/>
        <v>0</v>
      </c>
      <c r="N47" s="9">
        <f>Summary!$H$47</f>
        <v>0</v>
      </c>
      <c r="O47" s="9">
        <f>[1]Results!H49</f>
        <v>0</v>
      </c>
      <c r="P47" s="9">
        <f t="shared" si="16"/>
        <v>0</v>
      </c>
      <c r="R47" s="9">
        <f>Summary!$J$47</f>
        <v>1.1001713573932648E-4</v>
      </c>
      <c r="S47" s="9">
        <f>[1]Results!I49</f>
        <v>1.1001713573932648E-4</v>
      </c>
      <c r="T47" s="9">
        <f t="shared" si="17"/>
        <v>0</v>
      </c>
      <c r="V47" s="9">
        <f>Summary!$L$47</f>
        <v>0</v>
      </c>
      <c r="W47" s="9">
        <f>[1]Results!H138</f>
        <v>0</v>
      </c>
      <c r="X47" s="9">
        <f t="shared" si="18"/>
        <v>0</v>
      </c>
    </row>
    <row r="48" spans="1:24" x14ac:dyDescent="0.2">
      <c r="A48" s="11" t="s">
        <v>82</v>
      </c>
      <c r="B48" s="9">
        <f>Summary!$B$48</f>
        <v>2839473.9421010017</v>
      </c>
      <c r="C48" s="9">
        <f>[1]Results!C50</f>
        <v>2839473.9421010017</v>
      </c>
      <c r="D48" s="9">
        <f t="shared" si="13"/>
        <v>0</v>
      </c>
      <c r="F48" s="9">
        <f>Summary!$D$48</f>
        <v>20620031.009925332</v>
      </c>
      <c r="G48" s="9">
        <f>[1]Results!D50</f>
        <v>20620031.009924531</v>
      </c>
      <c r="H48" s="9">
        <f t="shared" si="14"/>
        <v>-8.0093741416931152E-7</v>
      </c>
      <c r="J48" s="9">
        <f>Summary!$F$48</f>
        <v>23459504.952026334</v>
      </c>
      <c r="K48" s="9">
        <f>[1]Results!G50</f>
        <v>23459504.952025533</v>
      </c>
      <c r="L48" s="9">
        <f t="shared" si="15"/>
        <v>-8.0093741416931152E-7</v>
      </c>
      <c r="N48" s="9">
        <f>Summary!$H$48</f>
        <v>0</v>
      </c>
      <c r="O48" s="9">
        <f>[1]Results!H50</f>
        <v>0</v>
      </c>
      <c r="P48" s="9">
        <f t="shared" si="16"/>
        <v>0</v>
      </c>
      <c r="R48" s="9">
        <f>Summary!$J$48</f>
        <v>23459504.952026334</v>
      </c>
      <c r="S48" s="9">
        <f>[1]Results!I50</f>
        <v>23459504.952025533</v>
      </c>
      <c r="T48" s="9">
        <f t="shared" si="17"/>
        <v>-8.0093741416931152E-7</v>
      </c>
      <c r="V48" s="9">
        <f>Summary!$L$48</f>
        <v>0</v>
      </c>
      <c r="W48" s="9">
        <f>[1]Results!H139</f>
        <v>0</v>
      </c>
      <c r="X48" s="9">
        <f t="shared" si="18"/>
        <v>0</v>
      </c>
    </row>
    <row r="49" spans="1:24" x14ac:dyDescent="0.2">
      <c r="A49" s="11" t="s">
        <v>83</v>
      </c>
      <c r="B49" s="9">
        <f>Summary!$B$49</f>
        <v>5092.6441051398033</v>
      </c>
      <c r="C49" s="9">
        <f>[1]Results!C51</f>
        <v>5092.6441051398033</v>
      </c>
      <c r="D49" s="9">
        <f t="shared" si="13"/>
        <v>0</v>
      </c>
      <c r="F49" s="9">
        <f>Summary!$D$49</f>
        <v>0</v>
      </c>
      <c r="G49" s="9">
        <f>[1]Results!D51</f>
        <v>0</v>
      </c>
      <c r="H49" s="9">
        <f t="shared" si="14"/>
        <v>0</v>
      </c>
      <c r="J49" s="9">
        <f>Summary!$F$49</f>
        <v>5092.6441051398033</v>
      </c>
      <c r="K49" s="9">
        <f>[1]Results!G51</f>
        <v>5092.6441051398033</v>
      </c>
      <c r="L49" s="9">
        <f t="shared" si="15"/>
        <v>0</v>
      </c>
      <c r="N49" s="9">
        <f>Summary!$H$49</f>
        <v>0</v>
      </c>
      <c r="O49" s="9">
        <f>[1]Results!H51</f>
        <v>0</v>
      </c>
      <c r="P49" s="9">
        <f t="shared" si="16"/>
        <v>0</v>
      </c>
      <c r="R49" s="9">
        <f>Summary!$J$49</f>
        <v>5092.6441051398033</v>
      </c>
      <c r="S49" s="9">
        <f>[1]Results!I51</f>
        <v>5092.6441051398033</v>
      </c>
      <c r="T49" s="9">
        <f t="shared" si="17"/>
        <v>0</v>
      </c>
      <c r="V49" s="9">
        <f>Summary!$L$49</f>
        <v>0</v>
      </c>
      <c r="W49" s="9">
        <f>[1]Results!H140</f>
        <v>0</v>
      </c>
      <c r="X49" s="9">
        <f t="shared" si="18"/>
        <v>0</v>
      </c>
    </row>
    <row r="50" spans="1:24" x14ac:dyDescent="0.2">
      <c r="A50" s="11" t="s">
        <v>84</v>
      </c>
      <c r="B50" s="9">
        <f>Summary!$B$50</f>
        <v>0</v>
      </c>
      <c r="C50" s="9">
        <f>[1]Results!C52</f>
        <v>0</v>
      </c>
      <c r="D50" s="9">
        <f t="shared" si="13"/>
        <v>0</v>
      </c>
      <c r="F50" s="9">
        <f>Summary!$D$50</f>
        <v>0</v>
      </c>
      <c r="G50" s="9">
        <f>[1]Results!D52</f>
        <v>0</v>
      </c>
      <c r="H50" s="9">
        <f t="shared" si="14"/>
        <v>0</v>
      </c>
      <c r="J50" s="9">
        <f>Summary!$F$50</f>
        <v>0</v>
      </c>
      <c r="K50" s="9">
        <f>[1]Results!G52</f>
        <v>0</v>
      </c>
      <c r="L50" s="9">
        <f t="shared" si="15"/>
        <v>0</v>
      </c>
      <c r="N50" s="9">
        <f>Summary!$H$50</f>
        <v>0</v>
      </c>
      <c r="O50" s="9">
        <f>[1]Results!H52</f>
        <v>0</v>
      </c>
      <c r="P50" s="9">
        <f t="shared" si="16"/>
        <v>0</v>
      </c>
      <c r="R50" s="9">
        <f>Summary!$J$50</f>
        <v>0</v>
      </c>
      <c r="S50" s="9">
        <f>[1]Results!I52</f>
        <v>0</v>
      </c>
      <c r="T50" s="9">
        <f t="shared" si="17"/>
        <v>0</v>
      </c>
      <c r="V50" s="9">
        <f>Summary!$L$50</f>
        <v>0</v>
      </c>
      <c r="W50" s="9">
        <f>[1]Results!H141</f>
        <v>0</v>
      </c>
      <c r="X50" s="9">
        <f t="shared" si="18"/>
        <v>0</v>
      </c>
    </row>
    <row r="51" spans="1:24" ht="13.5" thickBot="1" x14ac:dyDescent="0.25">
      <c r="A51" s="11" t="s">
        <v>85</v>
      </c>
      <c r="B51" s="10">
        <f>Summary!$B$51</f>
        <v>1893121512.5313125</v>
      </c>
      <c r="C51" s="10">
        <f>[1]Results!C53</f>
        <v>1893121512.5313125</v>
      </c>
      <c r="D51" s="10">
        <f t="shared" si="13"/>
        <v>0</v>
      </c>
      <c r="F51" s="10">
        <f>Summary!$D$51</f>
        <v>28871976.450495459</v>
      </c>
      <c r="G51" s="10">
        <f>[1]Results!D53</f>
        <v>28871976.450494677</v>
      </c>
      <c r="H51" s="10">
        <f t="shared" si="14"/>
        <v>-7.8231096267700195E-7</v>
      </c>
      <c r="J51" s="10">
        <f>Summary!$F$51</f>
        <v>1921993488.9818079</v>
      </c>
      <c r="K51" s="10">
        <f>[1]Results!G53</f>
        <v>1921993488.981807</v>
      </c>
      <c r="L51" s="10">
        <f t="shared" si="15"/>
        <v>0</v>
      </c>
      <c r="N51" s="10">
        <f>Summary!$H$51</f>
        <v>196599347.84283644</v>
      </c>
      <c r="O51" s="10">
        <f>[1]Results!H53</f>
        <v>196599347.84283641</v>
      </c>
      <c r="P51" s="10">
        <f t="shared" si="16"/>
        <v>0</v>
      </c>
      <c r="R51" s="10">
        <f>Summary!$J$51</f>
        <v>2118592836.8246441</v>
      </c>
      <c r="S51" s="10">
        <f>[1]Results!I53</f>
        <v>2118592836.8246434</v>
      </c>
      <c r="T51" s="10">
        <f t="shared" si="17"/>
        <v>0</v>
      </c>
      <c r="V51" s="10">
        <f>Summary!$L$51</f>
        <v>0</v>
      </c>
      <c r="W51" s="10">
        <f>[1]Results!H142</f>
        <v>0</v>
      </c>
      <c r="X51" s="10">
        <f t="shared" si="18"/>
        <v>0</v>
      </c>
    </row>
    <row r="52" spans="1:24" ht="13.5" thickTop="1" x14ac:dyDescent="0.2">
      <c r="A52" s="11"/>
      <c r="B52" s="9"/>
      <c r="C52" s="9"/>
      <c r="D52" s="9"/>
      <c r="F52" s="9"/>
      <c r="G52" s="9"/>
      <c r="H52" s="9"/>
      <c r="J52" s="9"/>
      <c r="K52" s="9"/>
      <c r="L52" s="9"/>
      <c r="N52" s="9"/>
      <c r="O52" s="9"/>
      <c r="P52" s="9"/>
      <c r="R52" s="9"/>
      <c r="S52" s="9"/>
      <c r="T52" s="9"/>
      <c r="V52" s="9"/>
      <c r="W52" s="9"/>
      <c r="X52" s="9"/>
    </row>
    <row r="53" spans="1:24" x14ac:dyDescent="0.2">
      <c r="A53" s="11" t="s">
        <v>86</v>
      </c>
      <c r="B53" s="9"/>
      <c r="C53" s="9"/>
      <c r="D53" s="9"/>
      <c r="F53" s="9"/>
      <c r="G53" s="9"/>
      <c r="H53" s="9"/>
      <c r="J53" s="9"/>
      <c r="K53" s="9"/>
      <c r="L53" s="9"/>
      <c r="N53" s="9"/>
      <c r="O53" s="9"/>
      <c r="P53" s="9"/>
      <c r="R53" s="9"/>
      <c r="S53" s="9"/>
      <c r="T53" s="9"/>
      <c r="V53" s="9"/>
      <c r="W53" s="9"/>
      <c r="X53" s="9"/>
    </row>
    <row r="54" spans="1:24" x14ac:dyDescent="0.2">
      <c r="A54" s="11" t="s">
        <v>87</v>
      </c>
      <c r="B54" s="9">
        <f>Summary!$B$54</f>
        <v>-743720454.69041991</v>
      </c>
      <c r="C54" s="9">
        <f>[1]Results!C56</f>
        <v>-743720454.69041991</v>
      </c>
      <c r="D54" s="9">
        <f t="shared" ref="D54:D62" si="19">C54-B54</f>
        <v>0</v>
      </c>
      <c r="F54" s="9">
        <f>Summary!$D$54</f>
        <v>-48566074.454209499</v>
      </c>
      <c r="G54" s="9">
        <f>[1]Results!D56</f>
        <v>-48566074.494073056</v>
      </c>
      <c r="H54" s="9">
        <f t="shared" ref="H54:H62" si="20">G54-F54</f>
        <v>-3.9863556623458862E-2</v>
      </c>
      <c r="J54" s="9">
        <f>Summary!$F$54</f>
        <v>-792286529.14462936</v>
      </c>
      <c r="K54" s="9">
        <f>[1]Results!G56</f>
        <v>-792286529.18449295</v>
      </c>
      <c r="L54" s="9">
        <f t="shared" ref="L54:L62" si="21">K54-J54</f>
        <v>-3.986358642578125E-2</v>
      </c>
      <c r="N54" s="9">
        <f>Summary!$H$54</f>
        <v>33082154.383554198</v>
      </c>
      <c r="O54" s="9">
        <f>[1]Results!H56</f>
        <v>33082154.423417736</v>
      </c>
      <c r="P54" s="9">
        <f t="shared" ref="P54:P62" si="22">O54-N54</f>
        <v>3.986353799700737E-2</v>
      </c>
      <c r="R54" s="9">
        <f>Summary!$J$54</f>
        <v>-759204374.76107514</v>
      </c>
      <c r="S54" s="9">
        <f>[1]Results!I56</f>
        <v>-759204374.76107526</v>
      </c>
      <c r="T54" s="9">
        <f t="shared" ref="T54:T62" si="23">S54-R54</f>
        <v>0</v>
      </c>
      <c r="V54" s="9">
        <f>Summary!$L$54</f>
        <v>0</v>
      </c>
      <c r="W54" s="9">
        <f>[1]Results!H145</f>
        <v>0</v>
      </c>
      <c r="X54" s="9">
        <f t="shared" ref="X54:X62" si="24">W54-V54</f>
        <v>0</v>
      </c>
    </row>
    <row r="55" spans="1:24" x14ac:dyDescent="0.2">
      <c r="A55" s="11" t="s">
        <v>88</v>
      </c>
      <c r="B55" s="9">
        <f>Summary!$B$55</f>
        <v>-61553794.228224881</v>
      </c>
      <c r="C55" s="9">
        <f>[1]Results!C57</f>
        <v>-61553794.228224881</v>
      </c>
      <c r="D55" s="9">
        <f t="shared" si="19"/>
        <v>0</v>
      </c>
      <c r="F55" s="9">
        <f>Summary!$D$55</f>
        <v>-2423618.2104293355</v>
      </c>
      <c r="G55" s="9">
        <f>[1]Results!D57</f>
        <v>-2423618.2104293355</v>
      </c>
      <c r="H55" s="9">
        <f t="shared" si="20"/>
        <v>0</v>
      </c>
      <c r="J55" s="9">
        <f>Summary!$F$55</f>
        <v>-63977412.438654214</v>
      </c>
      <c r="K55" s="9">
        <f>[1]Results!G57</f>
        <v>-63977412.438654214</v>
      </c>
      <c r="L55" s="9">
        <f t="shared" si="21"/>
        <v>0</v>
      </c>
      <c r="N55" s="9">
        <f>Summary!$H$55</f>
        <v>2103615.8250537398</v>
      </c>
      <c r="O55" s="9">
        <f>[1]Results!H57</f>
        <v>2103615.8250537482</v>
      </c>
      <c r="P55" s="9">
        <f t="shared" si="22"/>
        <v>8.3819031715393066E-9</v>
      </c>
      <c r="R55" s="9">
        <f>Summary!$J$55</f>
        <v>-61873796.613600478</v>
      </c>
      <c r="S55" s="9">
        <f>[1]Results!I57</f>
        <v>-61873796.613600463</v>
      </c>
      <c r="T55" s="9">
        <f t="shared" si="23"/>
        <v>0</v>
      </c>
      <c r="V55" s="9">
        <f>Summary!$L$55</f>
        <v>0</v>
      </c>
      <c r="W55" s="9">
        <f>[1]Results!H146</f>
        <v>0</v>
      </c>
      <c r="X55" s="9">
        <f t="shared" si="24"/>
        <v>0</v>
      </c>
    </row>
    <row r="56" spans="1:24" x14ac:dyDescent="0.2">
      <c r="A56" s="11" t="s">
        <v>89</v>
      </c>
      <c r="B56" s="9">
        <f>Summary!$B$56</f>
        <v>-272700960.75965124</v>
      </c>
      <c r="C56" s="9">
        <f>[1]Results!C58</f>
        <v>-272700960.75965124</v>
      </c>
      <c r="D56" s="9">
        <f t="shared" si="19"/>
        <v>0</v>
      </c>
      <c r="F56" s="9">
        <f>Summary!$D$56</f>
        <v>13626096.714858457</v>
      </c>
      <c r="G56" s="9">
        <f>[1]Results!D58</f>
        <v>13626096.714858457</v>
      </c>
      <c r="H56" s="9">
        <f t="shared" si="20"/>
        <v>0</v>
      </c>
      <c r="J56" s="9">
        <f>Summary!$F$56</f>
        <v>-259074864.04479277</v>
      </c>
      <c r="K56" s="9">
        <f>[1]Results!G58</f>
        <v>-259074864.04479277</v>
      </c>
      <c r="L56" s="9">
        <f t="shared" si="21"/>
        <v>0</v>
      </c>
      <c r="N56" s="9">
        <f>Summary!$H$56</f>
        <v>38202167.239522725</v>
      </c>
      <c r="O56" s="9">
        <f>[1]Results!H58</f>
        <v>38202167.273743644</v>
      </c>
      <c r="P56" s="9">
        <f t="shared" si="22"/>
        <v>3.4220919013023376E-2</v>
      </c>
      <c r="R56" s="9">
        <f>Summary!$J$56</f>
        <v>-220872696.80527005</v>
      </c>
      <c r="S56" s="9">
        <f>[1]Results!I58</f>
        <v>-220872696.77104914</v>
      </c>
      <c r="T56" s="9">
        <f t="shared" si="23"/>
        <v>3.4220904111862183E-2</v>
      </c>
      <c r="V56" s="9">
        <f>Summary!$L$56</f>
        <v>0</v>
      </c>
      <c r="W56" s="9">
        <f>[1]Results!H147</f>
        <v>0</v>
      </c>
      <c r="X56" s="9">
        <f t="shared" si="24"/>
        <v>0</v>
      </c>
    </row>
    <row r="57" spans="1:24" x14ac:dyDescent="0.2">
      <c r="A57" s="11" t="s">
        <v>90</v>
      </c>
      <c r="B57" s="9">
        <f>Summary!$B$57</f>
        <v>-19597.460327859608</v>
      </c>
      <c r="C57" s="9">
        <f>[1]Results!C59</f>
        <v>-19597.460327859608</v>
      </c>
      <c r="D57" s="9">
        <f t="shared" si="19"/>
        <v>0</v>
      </c>
      <c r="F57" s="9">
        <f>Summary!$D$57</f>
        <v>0</v>
      </c>
      <c r="G57" s="9">
        <f>[1]Results!D59</f>
        <v>0</v>
      </c>
      <c r="H57" s="9">
        <f t="shared" si="20"/>
        <v>0</v>
      </c>
      <c r="J57" s="9">
        <f>Summary!$F$57</f>
        <v>-19597.460327859608</v>
      </c>
      <c r="K57" s="9">
        <f>[1]Results!G59</f>
        <v>-19597.460327859608</v>
      </c>
      <c r="L57" s="9">
        <f t="shared" si="21"/>
        <v>0</v>
      </c>
      <c r="N57" s="9">
        <f>Summary!$H$57</f>
        <v>0</v>
      </c>
      <c r="O57" s="9">
        <f>[1]Results!H59</f>
        <v>0</v>
      </c>
      <c r="P57" s="9">
        <f t="shared" si="22"/>
        <v>0</v>
      </c>
      <c r="R57" s="9">
        <f>Summary!$J$57</f>
        <v>-19597.460327859608</v>
      </c>
      <c r="S57" s="9">
        <f>[1]Results!I59</f>
        <v>-19597.460327859608</v>
      </c>
      <c r="T57" s="9">
        <f t="shared" si="23"/>
        <v>0</v>
      </c>
      <c r="V57" s="9">
        <f>Summary!$L$57</f>
        <v>0</v>
      </c>
      <c r="W57" s="9">
        <f>[1]Results!H148</f>
        <v>0</v>
      </c>
      <c r="X57" s="9">
        <f t="shared" si="24"/>
        <v>0</v>
      </c>
    </row>
    <row r="58" spans="1:24" x14ac:dyDescent="0.2">
      <c r="A58" s="11" t="s">
        <v>91</v>
      </c>
      <c r="B58" s="9">
        <f>Summary!$B$58</f>
        <v>22214.951184419831</v>
      </c>
      <c r="C58" s="9">
        <f>[1]Results!C60</f>
        <v>22214.951184419831</v>
      </c>
      <c r="D58" s="9">
        <f t="shared" si="19"/>
        <v>0</v>
      </c>
      <c r="F58" s="9">
        <f>Summary!$D$58</f>
        <v>-2502028.2767103352</v>
      </c>
      <c r="G58" s="9">
        <f>[1]Results!D60</f>
        <v>-2502028.2767103352</v>
      </c>
      <c r="H58" s="9">
        <f t="shared" si="20"/>
        <v>0</v>
      </c>
      <c r="J58" s="9">
        <f>Summary!$F$58</f>
        <v>-2479813.3255259153</v>
      </c>
      <c r="K58" s="9">
        <f>[1]Results!G60</f>
        <v>-2479813.3255259153</v>
      </c>
      <c r="L58" s="9">
        <f t="shared" si="21"/>
        <v>0</v>
      </c>
      <c r="N58" s="9">
        <f>Summary!$H$58</f>
        <v>0</v>
      </c>
      <c r="O58" s="9">
        <f>[1]Results!H60</f>
        <v>0</v>
      </c>
      <c r="P58" s="9">
        <f t="shared" si="22"/>
        <v>0</v>
      </c>
      <c r="R58" s="9">
        <f>Summary!$J$58</f>
        <v>-2479813.3255259153</v>
      </c>
      <c r="S58" s="9">
        <f>[1]Results!I60</f>
        <v>-2479813.3255259153</v>
      </c>
      <c r="T58" s="9">
        <f t="shared" si="23"/>
        <v>0</v>
      </c>
      <c r="V58" s="9">
        <f>Summary!$L$58</f>
        <v>0</v>
      </c>
      <c r="W58" s="9">
        <f>[1]Results!H149</f>
        <v>0</v>
      </c>
      <c r="X58" s="9">
        <f t="shared" si="24"/>
        <v>0</v>
      </c>
    </row>
    <row r="59" spans="1:24" x14ac:dyDescent="0.2">
      <c r="A59" s="11" t="s">
        <v>92</v>
      </c>
      <c r="B59" s="9">
        <f>Summary!$B$59</f>
        <v>0</v>
      </c>
      <c r="C59" s="9">
        <f>[1]Results!C61</f>
        <v>0</v>
      </c>
      <c r="D59" s="9">
        <f t="shared" si="19"/>
        <v>0</v>
      </c>
      <c r="F59" s="9">
        <f>Summary!$D$59</f>
        <v>-2829106.1541666668</v>
      </c>
      <c r="G59" s="9">
        <f>[1]Results!D61</f>
        <v>-2829106.1541666668</v>
      </c>
      <c r="H59" s="9">
        <f t="shared" si="20"/>
        <v>0</v>
      </c>
      <c r="J59" s="9">
        <f>Summary!$F$59</f>
        <v>-2829106.1541666668</v>
      </c>
      <c r="K59" s="9">
        <f>[1]Results!G61</f>
        <v>-2829106.1541666668</v>
      </c>
      <c r="L59" s="9">
        <f t="shared" si="21"/>
        <v>0</v>
      </c>
      <c r="N59" s="9">
        <f>Summary!$H$59</f>
        <v>0</v>
      </c>
      <c r="O59" s="9">
        <f>[1]Results!H61</f>
        <v>0</v>
      </c>
      <c r="P59" s="9">
        <f t="shared" si="22"/>
        <v>0</v>
      </c>
      <c r="R59" s="9">
        <f>Summary!$J$59</f>
        <v>-2829106.1541666668</v>
      </c>
      <c r="S59" s="9">
        <f>[1]Results!I61</f>
        <v>-2829106.1541666668</v>
      </c>
      <c r="T59" s="9">
        <f t="shared" si="23"/>
        <v>0</v>
      </c>
      <c r="V59" s="9">
        <f>Summary!$L$59</f>
        <v>0</v>
      </c>
      <c r="W59" s="9">
        <f>[1]Results!H150</f>
        <v>0</v>
      </c>
      <c r="X59" s="9">
        <f t="shared" si="24"/>
        <v>0</v>
      </c>
    </row>
    <row r="60" spans="1:24" x14ac:dyDescent="0.2">
      <c r="A60" s="11" t="s">
        <v>93</v>
      </c>
      <c r="B60" s="9">
        <f>Summary!$B$60</f>
        <v>-36449285.999016821</v>
      </c>
      <c r="C60" s="9">
        <f>[1]Results!C62</f>
        <v>-36449285.999016821</v>
      </c>
      <c r="D60" s="9">
        <f t="shared" si="19"/>
        <v>0</v>
      </c>
      <c r="F60" s="9">
        <f>Summary!$D$60</f>
        <v>4129504.8610232491</v>
      </c>
      <c r="G60" s="9">
        <f>[1]Results!D62</f>
        <v>4129504.8610232491</v>
      </c>
      <c r="H60" s="9">
        <f t="shared" si="20"/>
        <v>0</v>
      </c>
      <c r="J60" s="9">
        <f>Summary!$F$60</f>
        <v>-32319781.137993574</v>
      </c>
      <c r="K60" s="9">
        <f>[1]Results!G62</f>
        <v>-32319781.137993574</v>
      </c>
      <c r="L60" s="9">
        <f t="shared" si="21"/>
        <v>0</v>
      </c>
      <c r="N60" s="9">
        <f>Summary!$H$60</f>
        <v>-23019462.641530417</v>
      </c>
      <c r="O60" s="9">
        <f>[1]Results!H62</f>
        <v>-23019462.641530417</v>
      </c>
      <c r="P60" s="9">
        <f t="shared" si="22"/>
        <v>0</v>
      </c>
      <c r="R60" s="9">
        <f>Summary!$J$60</f>
        <v>-55339243.779523991</v>
      </c>
      <c r="S60" s="9">
        <f>[1]Results!I62</f>
        <v>-55339243.779523991</v>
      </c>
      <c r="T60" s="9">
        <f t="shared" si="23"/>
        <v>0</v>
      </c>
      <c r="V60" s="9">
        <f>Summary!$L$60</f>
        <v>0</v>
      </c>
      <c r="W60" s="9">
        <f>[1]Results!H151</f>
        <v>0</v>
      </c>
      <c r="X60" s="9">
        <f t="shared" si="24"/>
        <v>0</v>
      </c>
    </row>
    <row r="61" spans="1:24" x14ac:dyDescent="0.2">
      <c r="A61" s="11"/>
      <c r="B61" s="9">
        <f>Summary!$B$61</f>
        <v>0</v>
      </c>
      <c r="C61" s="9">
        <f>[1]Results!C63</f>
        <v>0</v>
      </c>
      <c r="D61" s="9">
        <f t="shared" si="19"/>
        <v>0</v>
      </c>
      <c r="F61" s="9">
        <f>Summary!$D$61</f>
        <v>0</v>
      </c>
      <c r="G61" s="9">
        <f>[1]Results!D63</f>
        <v>0</v>
      </c>
      <c r="H61" s="9">
        <f t="shared" si="20"/>
        <v>0</v>
      </c>
      <c r="J61" s="9">
        <f>Summary!$F$61</f>
        <v>0</v>
      </c>
      <c r="K61" s="9">
        <f>[1]Results!G63</f>
        <v>0</v>
      </c>
      <c r="L61" s="9">
        <f t="shared" si="21"/>
        <v>0</v>
      </c>
      <c r="N61" s="9">
        <f>Summary!$H$61</f>
        <v>0</v>
      </c>
      <c r="O61" s="9">
        <f>[1]Results!H63</f>
        <v>0</v>
      </c>
      <c r="P61" s="9">
        <f t="shared" si="22"/>
        <v>0</v>
      </c>
      <c r="R61" s="9">
        <f>Summary!$J$61</f>
        <v>0</v>
      </c>
      <c r="S61" s="9">
        <f>[1]Results!I63</f>
        <v>0</v>
      </c>
      <c r="T61" s="9">
        <f t="shared" si="23"/>
        <v>0</v>
      </c>
      <c r="V61" s="9">
        <f>Summary!$L$61</f>
        <v>0</v>
      </c>
      <c r="W61" s="9">
        <f>[1]Results!H152</f>
        <v>0</v>
      </c>
      <c r="X61" s="9">
        <f t="shared" si="24"/>
        <v>0</v>
      </c>
    </row>
    <row r="62" spans="1:24" ht="13.5" thickBot="1" x14ac:dyDescent="0.25">
      <c r="A62" s="11" t="s">
        <v>94</v>
      </c>
      <c r="B62" s="10">
        <f>Summary!$B$62</f>
        <v>-1114421878.1864562</v>
      </c>
      <c r="C62" s="10">
        <f>[1]Results!C64</f>
        <v>-1114421878.1864562</v>
      </c>
      <c r="D62" s="10">
        <f t="shared" si="19"/>
        <v>0</v>
      </c>
      <c r="F62" s="10">
        <f>Summary!$D$62</f>
        <v>-38565225.519634128</v>
      </c>
      <c r="G62" s="10">
        <f>[1]Results!D64</f>
        <v>-38565225.559497684</v>
      </c>
      <c r="H62" s="10">
        <f t="shared" si="20"/>
        <v>-3.9863556623458862E-2</v>
      </c>
      <c r="J62" s="10">
        <f>Summary!$F$62</f>
        <v>-1152987103.7060905</v>
      </c>
      <c r="K62" s="10">
        <f>[1]Results!G64</f>
        <v>-1152987103.745954</v>
      </c>
      <c r="L62" s="10">
        <f t="shared" si="21"/>
        <v>-3.986358642578125E-2</v>
      </c>
      <c r="N62" s="10">
        <f>Summary!$H$62</f>
        <v>50368474.80660025</v>
      </c>
      <c r="O62" s="10">
        <f>[1]Results!H64</f>
        <v>50368474.880684711</v>
      </c>
      <c r="P62" s="10">
        <f t="shared" si="22"/>
        <v>7.4084460735321045E-2</v>
      </c>
      <c r="R62" s="10">
        <f>Summary!$J$62</f>
        <v>-1102618628.8994901</v>
      </c>
      <c r="S62" s="10">
        <f>[1]Results!I64</f>
        <v>-1102618628.8652694</v>
      </c>
      <c r="T62" s="10">
        <f t="shared" si="23"/>
        <v>3.4220695495605469E-2</v>
      </c>
      <c r="V62" s="10">
        <f>Summary!$L$62</f>
        <v>0</v>
      </c>
      <c r="W62" s="10">
        <f>[1]Results!H153</f>
        <v>0</v>
      </c>
      <c r="X62" s="10">
        <f t="shared" si="24"/>
        <v>0</v>
      </c>
    </row>
    <row r="63" spans="1:24" ht="13.5" thickTop="1" x14ac:dyDescent="0.2">
      <c r="A63" s="11"/>
      <c r="B63" s="9"/>
      <c r="C63" s="9"/>
      <c r="D63" s="9"/>
      <c r="F63" s="9"/>
      <c r="G63" s="9"/>
      <c r="H63" s="9"/>
      <c r="J63" s="9"/>
      <c r="K63" s="9"/>
      <c r="L63" s="9"/>
      <c r="N63" s="9"/>
      <c r="O63" s="9"/>
      <c r="P63" s="9"/>
      <c r="R63" s="9"/>
      <c r="S63" s="9"/>
      <c r="T63" s="9"/>
      <c r="V63" s="9"/>
      <c r="W63" s="9"/>
      <c r="X63" s="9"/>
    </row>
    <row r="64" spans="1:24" ht="13.5" thickBot="1" x14ac:dyDescent="0.25">
      <c r="A64" s="11" t="s">
        <v>95</v>
      </c>
      <c r="B64" s="10">
        <f>Summary!$B$64</f>
        <v>778699634.34485626</v>
      </c>
      <c r="C64" s="10">
        <f>[1]Results!C66</f>
        <v>778699634.34485626</v>
      </c>
      <c r="D64" s="10">
        <f>C64-B64</f>
        <v>0</v>
      </c>
      <c r="F64" s="10">
        <f>Summary!$D$64</f>
        <v>-9693249.0691386685</v>
      </c>
      <c r="G64" s="10">
        <f>[1]Results!D66</f>
        <v>-9693249.1090030074</v>
      </c>
      <c r="H64" s="10">
        <f>G64-F64</f>
        <v>-3.9864338934421539E-2</v>
      </c>
      <c r="J64" s="10">
        <f>Summary!$F$64</f>
        <v>769006385.2757175</v>
      </c>
      <c r="K64" s="10">
        <f>[1]Results!G66</f>
        <v>769006385.23585296</v>
      </c>
      <c r="L64" s="10">
        <f>K64-J64</f>
        <v>-3.9864540100097656E-2</v>
      </c>
      <c r="N64" s="10">
        <f>Summary!$H$64</f>
        <v>246967822.64943668</v>
      </c>
      <c r="O64" s="10">
        <f>[1]Results!H66</f>
        <v>246967822.72352111</v>
      </c>
      <c r="P64" s="10">
        <f>O64-N64</f>
        <v>7.4084430932998657E-2</v>
      </c>
      <c r="R64" s="10">
        <f>Summary!$J$64</f>
        <v>1015974207.925154</v>
      </c>
      <c r="S64" s="10">
        <f>[1]Results!I66</f>
        <v>1015974207.959374</v>
      </c>
      <c r="T64" s="10">
        <f>S64-R64</f>
        <v>3.4219980239868164E-2</v>
      </c>
      <c r="V64" s="10">
        <f>Summary!$L$64</f>
        <v>0</v>
      </c>
      <c r="W64" s="10">
        <f>[1]Results!H155</f>
        <v>0</v>
      </c>
      <c r="X64" s="10">
        <f>W64-V64</f>
        <v>0</v>
      </c>
    </row>
    <row r="65" spans="1:24" ht="13.5" thickTop="1" x14ac:dyDescent="0.2">
      <c r="A65" s="11"/>
      <c r="B65" s="9"/>
      <c r="C65" s="9"/>
      <c r="D65" s="9"/>
      <c r="F65" s="9"/>
      <c r="G65" s="9"/>
      <c r="H65" s="9"/>
      <c r="J65" s="9"/>
      <c r="K65" s="9"/>
      <c r="L65" s="9"/>
      <c r="N65" s="9"/>
      <c r="O65" s="9"/>
      <c r="P65" s="9"/>
      <c r="R65" s="9"/>
      <c r="S65" s="9"/>
      <c r="T65" s="9"/>
      <c r="V65" s="9"/>
      <c r="W65" s="9"/>
      <c r="X65" s="9"/>
    </row>
    <row r="66" spans="1:24" x14ac:dyDescent="0.2">
      <c r="A66" s="11" t="s">
        <v>44</v>
      </c>
      <c r="B66" s="24"/>
      <c r="C66" s="24"/>
      <c r="D66" s="24"/>
      <c r="F66" s="24"/>
      <c r="G66" s="24"/>
      <c r="H66" s="24"/>
      <c r="J66" s="24"/>
      <c r="K66" s="24"/>
      <c r="L66" s="24"/>
      <c r="N66" s="24"/>
      <c r="O66" s="24"/>
      <c r="P66" s="24"/>
      <c r="R66" s="24"/>
      <c r="S66" s="24"/>
      <c r="T66" s="24"/>
      <c r="V66" s="24"/>
      <c r="W66" s="24"/>
      <c r="X66" s="24"/>
    </row>
    <row r="67" spans="1:24" x14ac:dyDescent="0.2">
      <c r="A67" s="11" t="s">
        <v>96</v>
      </c>
      <c r="B67" s="24">
        <f>Summary!$B$67</f>
        <v>0.1165238099568558</v>
      </c>
      <c r="C67" s="24">
        <f>[1]Results!C69</f>
        <v>0.1165238099568558</v>
      </c>
      <c r="D67" s="24">
        <f t="shared" ref="D67" si="25">C67-B67</f>
        <v>0</v>
      </c>
      <c r="F67" s="24">
        <f>Summary!$D$67</f>
        <v>6.8810828183813233E-2</v>
      </c>
      <c r="G67" s="24">
        <f>[1]Results!D69</f>
        <v>6.8810828195240287E-2</v>
      </c>
      <c r="H67" s="24">
        <f t="shared" ref="H67" si="26">G67-F67</f>
        <v>1.1427053747681271E-11</v>
      </c>
      <c r="J67" s="24">
        <f>Summary!$F$67</f>
        <v>0.18533463814066903</v>
      </c>
      <c r="K67" s="24">
        <f>[1]Results!G69</f>
        <v>0.18533463815209625</v>
      </c>
      <c r="L67" s="24">
        <f t="shared" ref="L67" si="27">K67-J67</f>
        <v>1.1427220281134964E-11</v>
      </c>
      <c r="N67" s="24">
        <f>Summary!$H$67</f>
        <v>-0.12535424081612084</v>
      </c>
      <c r="O67" s="24">
        <f>[1]Results!H69</f>
        <v>-0.12535423999219264</v>
      </c>
      <c r="P67" s="24">
        <f t="shared" ref="P67" si="28">O67-N67</f>
        <v>8.2392820344168172E-10</v>
      </c>
      <c r="R67" s="24">
        <f>Summary!$J$67</f>
        <v>5.9980397324548171E-2</v>
      </c>
      <c r="S67" s="24">
        <f>[1]Results!I69</f>
        <v>5.9980398159903504E-2</v>
      </c>
      <c r="T67" s="24">
        <f t="shared" ref="T67" si="29">S67-R67</f>
        <v>8.3535533351719593E-10</v>
      </c>
      <c r="V67" s="24"/>
      <c r="W67" s="24"/>
      <c r="X67" s="24"/>
    </row>
    <row r="68" spans="1:24" x14ac:dyDescent="0.2">
      <c r="A68" s="11"/>
      <c r="B68" s="22"/>
      <c r="C68" s="22"/>
      <c r="D68" s="22"/>
      <c r="F68" s="22"/>
      <c r="G68" s="22"/>
      <c r="H68" s="22"/>
      <c r="J68" s="22"/>
      <c r="K68" s="22"/>
      <c r="L68" s="22"/>
      <c r="N68" s="22"/>
      <c r="O68" s="22"/>
      <c r="P68" s="22"/>
      <c r="R68" s="22"/>
      <c r="S68" s="22"/>
      <c r="T68" s="22"/>
      <c r="V68" s="22"/>
      <c r="W68" s="22"/>
      <c r="X68" s="22"/>
    </row>
    <row r="69" spans="1:24" x14ac:dyDescent="0.2">
      <c r="A69" s="11" t="s">
        <v>97</v>
      </c>
      <c r="B69" s="9"/>
      <c r="C69" s="9"/>
      <c r="D69" s="9"/>
      <c r="F69" s="9"/>
      <c r="G69" s="9"/>
      <c r="H69" s="9"/>
      <c r="J69" s="9"/>
      <c r="K69" s="9"/>
      <c r="L69" s="9"/>
      <c r="N69" s="9"/>
      <c r="O69" s="9"/>
      <c r="P69" s="9"/>
      <c r="R69" s="9"/>
      <c r="S69" s="9"/>
      <c r="T69" s="9"/>
      <c r="V69" s="9"/>
      <c r="W69" s="9"/>
      <c r="X69" s="9"/>
    </row>
    <row r="70" spans="1:24" x14ac:dyDescent="0.2">
      <c r="A70" s="11" t="s">
        <v>98</v>
      </c>
      <c r="B70" s="9">
        <f>Summary!$B$71</f>
        <v>76784147.468685314</v>
      </c>
      <c r="C70" s="9">
        <f>[1]Results!C72</f>
        <v>76784147.468685314</v>
      </c>
      <c r="D70" s="9">
        <f t="shared" ref="D70:D79" si="30">C70-B70</f>
        <v>0</v>
      </c>
      <c r="F70" s="9">
        <f>Summary!$D$71</f>
        <v>28949324.612968698</v>
      </c>
      <c r="G70" s="9">
        <f>[1]Results!D72</f>
        <v>28949324.612968691</v>
      </c>
      <c r="H70" s="9">
        <f t="shared" ref="H70:H76" si="31">G70-F70</f>
        <v>0</v>
      </c>
      <c r="J70" s="9">
        <f>Summary!$F$71</f>
        <v>105733472.08165398</v>
      </c>
      <c r="K70" s="9">
        <f>[1]Results!G72</f>
        <v>105733472.08165398</v>
      </c>
      <c r="L70" s="9">
        <f t="shared" ref="L70:L76" si="32">K70-J70</f>
        <v>0</v>
      </c>
      <c r="N70" s="9">
        <f>Summary!$H$71</f>
        <v>-67285655.735435769</v>
      </c>
      <c r="O70" s="9">
        <f>[1]Results!H72</f>
        <v>-67285655.342515185</v>
      </c>
      <c r="P70" s="9">
        <f t="shared" ref="P70:P75" si="33">O70-N70</f>
        <v>0.39292058348655701</v>
      </c>
      <c r="R70" s="9">
        <f>Summary!$J$71</f>
        <v>38447817</v>
      </c>
      <c r="S70" s="9">
        <f>[1]Results!I72</f>
        <v>38447816.739138819</v>
      </c>
      <c r="T70" s="9">
        <f t="shared" ref="T70:T76" si="34">S70-R70</f>
        <v>-0.26086118072271347</v>
      </c>
      <c r="V70" s="9">
        <f>Summary!$L$71</f>
        <v>28397568.659918047</v>
      </c>
      <c r="W70" s="9">
        <f>[1]Results!H161</f>
        <v>28397568.096327059</v>
      </c>
      <c r="X70" s="9">
        <f t="shared" ref="X70:X76" si="35">W70-V70</f>
        <v>-0.56359098851680756</v>
      </c>
    </row>
    <row r="71" spans="1:24" x14ac:dyDescent="0.2">
      <c r="A71" s="11" t="s">
        <v>99</v>
      </c>
      <c r="B71" s="9">
        <f>Summary!$B$72</f>
        <v>0</v>
      </c>
      <c r="C71" s="9">
        <f>[1]Results!C73</f>
        <v>0</v>
      </c>
      <c r="D71" s="9">
        <f t="shared" si="30"/>
        <v>0</v>
      </c>
      <c r="F71" s="9">
        <f>Summary!$D$72</f>
        <v>0</v>
      </c>
      <c r="G71" s="9">
        <f>[1]Results!D73</f>
        <v>0</v>
      </c>
      <c r="H71" s="9">
        <f t="shared" si="31"/>
        <v>0</v>
      </c>
      <c r="J71" s="9">
        <f>Summary!$F$72</f>
        <v>0</v>
      </c>
      <c r="K71" s="9">
        <f>[1]Results!G73</f>
        <v>0</v>
      </c>
      <c r="L71" s="9">
        <f t="shared" si="32"/>
        <v>0</v>
      </c>
      <c r="N71" s="9">
        <f>Summary!$H$72</f>
        <v>0</v>
      </c>
      <c r="O71" s="9">
        <f>[1]Results!H73</f>
        <v>0</v>
      </c>
      <c r="P71" s="9">
        <f t="shared" si="33"/>
        <v>0</v>
      </c>
      <c r="R71" s="9">
        <f>Summary!$J$72</f>
        <v>0</v>
      </c>
      <c r="S71" s="9">
        <f>[1]Results!I73</f>
        <v>0</v>
      </c>
      <c r="T71" s="9">
        <f t="shared" si="34"/>
        <v>0</v>
      </c>
      <c r="V71" s="9">
        <f>Summary!$L$72</f>
        <v>0</v>
      </c>
      <c r="W71" s="9">
        <f>[1]Results!H162</f>
        <v>0</v>
      </c>
      <c r="X71" s="9">
        <f t="shared" si="35"/>
        <v>0</v>
      </c>
    </row>
    <row r="72" spans="1:24" x14ac:dyDescent="0.2">
      <c r="A72" s="11" t="s">
        <v>100</v>
      </c>
      <c r="B72" s="9">
        <f>Summary!$B$73</f>
        <v>-3011899.3628875981</v>
      </c>
      <c r="C72" s="9">
        <f>[1]Results!C74</f>
        <v>-3011899.3628875981</v>
      </c>
      <c r="D72" s="9">
        <f t="shared" si="30"/>
        <v>0</v>
      </c>
      <c r="F72" s="9">
        <f>Summary!$D$73</f>
        <v>-4620.2408263712532</v>
      </c>
      <c r="G72" s="9">
        <f>[1]Results!D74</f>
        <v>-4620.2408263712532</v>
      </c>
      <c r="H72" s="9">
        <f t="shared" si="31"/>
        <v>0</v>
      </c>
      <c r="J72" s="9">
        <f>Summary!$F$73</f>
        <v>-3016519.6037139692</v>
      </c>
      <c r="K72" s="9">
        <f>[1]Results!G74</f>
        <v>-3016519.6037139692</v>
      </c>
      <c r="L72" s="9">
        <f t="shared" si="32"/>
        <v>0</v>
      </c>
      <c r="N72" s="9">
        <f>Summary!$H$73</f>
        <v>0</v>
      </c>
      <c r="O72" s="9">
        <f>[1]Results!H74</f>
        <v>0</v>
      </c>
      <c r="P72" s="9">
        <f t="shared" si="33"/>
        <v>0</v>
      </c>
      <c r="R72" s="9">
        <f>Summary!$J$73</f>
        <v>-3016519.6037139692</v>
      </c>
      <c r="S72" s="9">
        <f>[1]Results!I74</f>
        <v>-3016519.6037139692</v>
      </c>
      <c r="T72" s="9">
        <f t="shared" si="34"/>
        <v>0</v>
      </c>
      <c r="V72" s="9">
        <f>Summary!$L$73</f>
        <v>0</v>
      </c>
      <c r="W72" s="9">
        <f>[1]Results!H163</f>
        <v>0</v>
      </c>
      <c r="X72" s="9">
        <f t="shared" si="35"/>
        <v>0</v>
      </c>
    </row>
    <row r="73" spans="1:24" x14ac:dyDescent="0.2">
      <c r="A73" s="11" t="s">
        <v>101</v>
      </c>
      <c r="B73" s="9">
        <f>Summary!$B$74</f>
        <v>22042470.758558765</v>
      </c>
      <c r="C73" s="9">
        <f>[1]Results!C75</f>
        <v>22042470.758558765</v>
      </c>
      <c r="D73" s="9">
        <f t="shared" si="30"/>
        <v>0</v>
      </c>
      <c r="F73" s="9">
        <f>Summary!$D$74</f>
        <v>-4093492.6031585857</v>
      </c>
      <c r="G73" s="9">
        <f>[1]Results!D75</f>
        <v>-4093492.604089044</v>
      </c>
      <c r="H73" s="9">
        <f t="shared" si="31"/>
        <v>-9.3045830726623535E-4</v>
      </c>
      <c r="J73" s="9">
        <f>Summary!$F$74</f>
        <v>17948978.155400179</v>
      </c>
      <c r="K73" s="9">
        <f>[1]Results!G75</f>
        <v>17948978.154469721</v>
      </c>
      <c r="L73" s="9">
        <f t="shared" si="32"/>
        <v>-9.3045830726623535E-4</v>
      </c>
      <c r="N73" s="9">
        <f>Summary!$H$74</f>
        <v>5764347.525192719</v>
      </c>
      <c r="O73" s="9">
        <f>[1]Results!H75</f>
        <v>5764347.526921887</v>
      </c>
      <c r="P73" s="9">
        <f t="shared" si="33"/>
        <v>1.7291679978370667E-3</v>
      </c>
      <c r="R73" s="9">
        <f>Summary!$J$74</f>
        <v>23713325.680592898</v>
      </c>
      <c r="S73" s="9">
        <f>[1]Results!I75</f>
        <v>23713325.681391608</v>
      </c>
      <c r="T73" s="9">
        <f t="shared" si="34"/>
        <v>7.987096905708313E-4</v>
      </c>
      <c r="V73" s="9">
        <f>Summary!$L$74</f>
        <v>0</v>
      </c>
      <c r="W73" s="9">
        <f>[1]Results!H164</f>
        <v>0</v>
      </c>
      <c r="X73" s="9">
        <f t="shared" si="35"/>
        <v>0</v>
      </c>
    </row>
    <row r="74" spans="1:24" x14ac:dyDescent="0.2">
      <c r="A74" s="11" t="s">
        <v>102</v>
      </c>
      <c r="B74" s="9">
        <f>Summary!$B$75</f>
        <v>91716240.228935182</v>
      </c>
      <c r="C74" s="9">
        <f>[1]Results!C76</f>
        <v>91716240.228935182</v>
      </c>
      <c r="D74" s="9">
        <f t="shared" si="30"/>
        <v>0</v>
      </c>
      <c r="F74" s="9">
        <f>Summary!$D$75</f>
        <v>-185916.44429361407</v>
      </c>
      <c r="G74" s="9">
        <f>[1]Results!D76</f>
        <v>-185916.44429361407</v>
      </c>
      <c r="H74" s="9">
        <f t="shared" si="31"/>
        <v>0</v>
      </c>
      <c r="J74" s="9">
        <f>Summary!$F$75</f>
        <v>91530323.784641564</v>
      </c>
      <c r="K74" s="9">
        <f>[1]Results!G76</f>
        <v>91530323.784641564</v>
      </c>
      <c r="L74" s="9">
        <f t="shared" si="32"/>
        <v>0</v>
      </c>
      <c r="N74" s="9">
        <f>Summary!$H$75</f>
        <v>84202717.107855618</v>
      </c>
      <c r="O74" s="9">
        <f>[1]Results!H76</f>
        <v>84202717.107855618</v>
      </c>
      <c r="P74" s="9">
        <f t="shared" si="33"/>
        <v>0</v>
      </c>
      <c r="R74" s="9">
        <f>Summary!$J$75</f>
        <v>175733040.89249718</v>
      </c>
      <c r="S74" s="9">
        <f>[1]Results!I76</f>
        <v>175733040.89249718</v>
      </c>
      <c r="T74" s="9">
        <f t="shared" si="34"/>
        <v>0</v>
      </c>
      <c r="V74" s="9">
        <f>Summary!$L$75</f>
        <v>0</v>
      </c>
      <c r="W74" s="9">
        <f>[1]Results!H165</f>
        <v>0</v>
      </c>
      <c r="X74" s="9">
        <f t="shared" si="35"/>
        <v>0</v>
      </c>
    </row>
    <row r="75" spans="1:24" x14ac:dyDescent="0.2">
      <c r="A75" s="11" t="s">
        <v>103</v>
      </c>
      <c r="B75" s="8">
        <f>Summary!$B$76</f>
        <v>58295026.136140451</v>
      </c>
      <c r="C75" s="8">
        <f>[1]Results!C77</f>
        <v>58295026.136140451</v>
      </c>
      <c r="D75" s="8">
        <f t="shared" si="30"/>
        <v>0</v>
      </c>
      <c r="F75" s="8">
        <f>Summary!$D$76</f>
        <v>133451.54645019188</v>
      </c>
      <c r="G75" s="8">
        <f>[1]Results!D77</f>
        <v>133451.54645019188</v>
      </c>
      <c r="H75" s="8">
        <f t="shared" si="31"/>
        <v>0</v>
      </c>
      <c r="J75" s="8">
        <f>Summary!$F$76</f>
        <v>58428477.682590641</v>
      </c>
      <c r="K75" s="8">
        <f>[1]Results!G77</f>
        <v>58428477.682590641</v>
      </c>
      <c r="L75" s="8">
        <f t="shared" si="32"/>
        <v>0</v>
      </c>
      <c r="N75" s="8">
        <f>Summary!$H$76</f>
        <v>53396930.176212728</v>
      </c>
      <c r="O75" s="8">
        <f>[1]Results!H77</f>
        <v>53396930.176212735</v>
      </c>
      <c r="P75" s="8">
        <f t="shared" si="33"/>
        <v>0</v>
      </c>
      <c r="R75" s="8">
        <f>Summary!$J$76</f>
        <v>111825407.85880336</v>
      </c>
      <c r="S75" s="8">
        <f>[1]Results!I77</f>
        <v>111825407.85880338</v>
      </c>
      <c r="T75" s="8">
        <f t="shared" si="34"/>
        <v>0</v>
      </c>
      <c r="V75" s="8">
        <f>Summary!$L$76</f>
        <v>0</v>
      </c>
      <c r="W75" s="8">
        <v>0</v>
      </c>
      <c r="X75" s="8">
        <f t="shared" si="35"/>
        <v>0</v>
      </c>
    </row>
    <row r="76" spans="1:24" x14ac:dyDescent="0.2">
      <c r="A76" s="11" t="s">
        <v>104</v>
      </c>
      <c r="B76" s="9">
        <f>Summary!$B$77</f>
        <v>91174790.165808871</v>
      </c>
      <c r="C76" s="9">
        <f>[1]Results!C78</f>
        <v>91174790.165808871</v>
      </c>
      <c r="D76" s="9">
        <f t="shared" si="30"/>
        <v>0</v>
      </c>
      <c r="F76" s="9">
        <f>Summary!$D$77</f>
        <v>32728069.466209851</v>
      </c>
      <c r="G76" s="9">
        <f>[1]Results!D78</f>
        <v>32728069.467140302</v>
      </c>
      <c r="H76" s="9">
        <f t="shared" si="31"/>
        <v>9.3045085668563843E-4</v>
      </c>
      <c r="J76" s="9">
        <f>Summary!$F$77</f>
        <v>123902859.63201872</v>
      </c>
      <c r="K76" s="9">
        <f>[1]Results!G78</f>
        <v>123902859.63294917</v>
      </c>
      <c r="L76" s="9">
        <f t="shared" si="32"/>
        <v>9.3045830726623535E-4</v>
      </c>
      <c r="N76" s="9">
        <f>Summary!$H$77</f>
        <v>-42244216.328985602</v>
      </c>
      <c r="O76" s="9">
        <f>[1]Results!H78</f>
        <v>-42244215.937794186</v>
      </c>
      <c r="P76" s="9">
        <f>O76-N76-1</f>
        <v>-0.60880858451128006</v>
      </c>
      <c r="R76" s="9">
        <f>Summary!$J$77</f>
        <v>81658643.956814885</v>
      </c>
      <c r="S76" s="9">
        <f>[1]Results!I78</f>
        <v>81658643.695154995</v>
      </c>
      <c r="T76" s="9">
        <f t="shared" si="34"/>
        <v>-0.2616598904132843</v>
      </c>
      <c r="V76" s="9">
        <f>Summary!$L$77</f>
        <v>28397568.659918047</v>
      </c>
      <c r="W76" s="9">
        <f>[1]Results!$H$166</f>
        <v>28397568.096327059</v>
      </c>
      <c r="X76" s="9">
        <f t="shared" si="35"/>
        <v>-0.56359098851680756</v>
      </c>
    </row>
    <row r="77" spans="1:24" x14ac:dyDescent="0.2">
      <c r="A77" s="11"/>
      <c r="B77" s="9"/>
      <c r="C77" s="9"/>
      <c r="D77" s="9"/>
      <c r="F77" s="9"/>
      <c r="G77" s="9"/>
      <c r="H77" s="9"/>
      <c r="J77" s="9"/>
      <c r="K77" s="9"/>
      <c r="L77" s="9"/>
      <c r="N77" s="9"/>
      <c r="O77" s="9"/>
      <c r="P77" s="9"/>
      <c r="R77" s="9"/>
      <c r="S77" s="9"/>
      <c r="T77" s="9"/>
      <c r="V77" s="9"/>
      <c r="W77" s="9"/>
      <c r="X77" s="9"/>
    </row>
    <row r="78" spans="1:24" x14ac:dyDescent="0.2">
      <c r="A78" s="11" t="s">
        <v>105</v>
      </c>
      <c r="B78" s="9">
        <f>Summary!$B$79</f>
        <v>0</v>
      </c>
      <c r="C78" s="9">
        <f>[1]Results!C80</f>
        <v>0</v>
      </c>
      <c r="D78" s="9">
        <f t="shared" si="30"/>
        <v>0</v>
      </c>
      <c r="F78" s="9">
        <f>Summary!$D$79</f>
        <v>0</v>
      </c>
      <c r="G78" s="9">
        <f>[1]Results!D80</f>
        <v>0</v>
      </c>
      <c r="H78" s="9">
        <f t="shared" ref="H78:H79" si="36">G78-F78</f>
        <v>0</v>
      </c>
      <c r="J78" s="9">
        <f>Summary!$F$79</f>
        <v>0</v>
      </c>
      <c r="K78" s="9">
        <f>[1]Results!G80</f>
        <v>0</v>
      </c>
      <c r="L78" s="9">
        <f t="shared" ref="L78:L82" si="37">K78-J78</f>
        <v>0</v>
      </c>
      <c r="N78" s="9">
        <f>Summary!$H$79</f>
        <v>0</v>
      </c>
      <c r="O78" s="9">
        <f>[1]Results!H80</f>
        <v>0</v>
      </c>
      <c r="P78" s="9">
        <f t="shared" ref="P78:P82" si="38">O78-N78</f>
        <v>0</v>
      </c>
      <c r="R78" s="9">
        <f>Summary!$J$79</f>
        <v>0</v>
      </c>
      <c r="S78" s="9">
        <f>[1]Results!I80</f>
        <v>0</v>
      </c>
      <c r="T78" s="9">
        <f t="shared" ref="T78:T82" si="39">S78-R78</f>
        <v>0</v>
      </c>
      <c r="V78" s="9">
        <f>Summary!$L$79</f>
        <v>0</v>
      </c>
      <c r="W78" s="9">
        <v>0</v>
      </c>
      <c r="X78" s="9">
        <f t="shared" ref="X78:X79" si="40">W78-V78</f>
        <v>0</v>
      </c>
    </row>
    <row r="79" spans="1:24" x14ac:dyDescent="0.2">
      <c r="A79" s="11" t="s">
        <v>106</v>
      </c>
      <c r="B79" s="9">
        <f>Summary!$B$80</f>
        <v>91174790.165808871</v>
      </c>
      <c r="C79" s="9">
        <f>[1]Results!C81</f>
        <v>91174790.165808871</v>
      </c>
      <c r="D79" s="9">
        <f t="shared" si="30"/>
        <v>0</v>
      </c>
      <c r="F79" s="9">
        <f>Summary!$D$80</f>
        <v>32728069.466209851</v>
      </c>
      <c r="G79" s="9">
        <f>[1]Results!D81</f>
        <v>32728069.467140302</v>
      </c>
      <c r="H79" s="9">
        <f t="shared" si="36"/>
        <v>9.3045085668563843E-4</v>
      </c>
      <c r="J79" s="9">
        <f>Summary!$F$80</f>
        <v>123902859.63201872</v>
      </c>
      <c r="K79" s="9">
        <f>[1]Results!G81</f>
        <v>123902859.63294917</v>
      </c>
      <c r="L79" s="9">
        <f t="shared" si="37"/>
        <v>9.3045830726623535E-4</v>
      </c>
      <c r="N79" s="9">
        <f>Summary!$H$80</f>
        <v>-42244216.328985602</v>
      </c>
      <c r="O79" s="9">
        <f>[1]Results!H81</f>
        <v>-42244215.937794186</v>
      </c>
      <c r="P79" s="9">
        <f>O79-N79-1</f>
        <v>-0.60880858451128006</v>
      </c>
      <c r="R79" s="9">
        <f>Summary!$J$80</f>
        <v>81658643.956814885</v>
      </c>
      <c r="S79" s="9">
        <f>[1]Results!I81</f>
        <v>81658643.695154995</v>
      </c>
      <c r="T79" s="9">
        <f t="shared" si="39"/>
        <v>-0.2616598904132843</v>
      </c>
      <c r="V79" s="9">
        <f>Summary!$L$80</f>
        <v>28397568.659918047</v>
      </c>
      <c r="W79" s="9">
        <f>[1]Results!$H$169</f>
        <v>28397568.096327059</v>
      </c>
      <c r="X79" s="9">
        <f t="shared" si="40"/>
        <v>-0.56359098851680756</v>
      </c>
    </row>
    <row r="80" spans="1:24" x14ac:dyDescent="0.2">
      <c r="A80" s="11"/>
      <c r="B80" s="9"/>
      <c r="C80" s="9"/>
      <c r="D80" s="9"/>
      <c r="F80" s="9"/>
      <c r="G80" s="9"/>
      <c r="H80" s="9"/>
      <c r="J80" s="9"/>
      <c r="K80" s="9"/>
      <c r="L80" s="9"/>
      <c r="N80" s="9"/>
      <c r="O80" s="9"/>
      <c r="P80" s="9"/>
      <c r="R80" s="9"/>
      <c r="S80" s="9"/>
      <c r="T80" s="9"/>
      <c r="V80" s="9"/>
      <c r="W80" s="9"/>
      <c r="X80" s="9"/>
    </row>
    <row r="81" spans="1:24" x14ac:dyDescent="0.2">
      <c r="A81" s="11" t="s">
        <v>131</v>
      </c>
      <c r="B81" s="9">
        <f>Summary!$B$82</f>
        <v>19146705.934819862</v>
      </c>
      <c r="C81" s="9">
        <f>C79*0.35</f>
        <v>31911176.558033101</v>
      </c>
      <c r="D81" s="9"/>
      <c r="F81" s="9">
        <f>Summary!$D$82</f>
        <v>6872894.5879040686</v>
      </c>
      <c r="G81" s="9">
        <f>G79*0.35</f>
        <v>11454824.313499104</v>
      </c>
      <c r="H81" s="9"/>
      <c r="J81" s="9">
        <f>Summary!$F$82</f>
        <v>26019600.522723928</v>
      </c>
      <c r="K81" s="9">
        <f>K79*0.21</f>
        <v>26019600.522919327</v>
      </c>
      <c r="L81" s="9">
        <f t="shared" si="37"/>
        <v>1.9539892673492432E-4</v>
      </c>
      <c r="N81" s="9">
        <f>Summary!$H$82</f>
        <v>-8871285.4290869758</v>
      </c>
      <c r="O81" s="9">
        <f>O79*0.21</f>
        <v>-8871285.3469367791</v>
      </c>
      <c r="P81" s="9">
        <f t="shared" si="38"/>
        <v>8.215019665658474E-2</v>
      </c>
      <c r="R81" s="9">
        <f>Summary!$J$82</f>
        <v>17148315.230931126</v>
      </c>
      <c r="S81" s="9">
        <f>S79*0.21</f>
        <v>17148315.17598255</v>
      </c>
      <c r="T81" s="9">
        <f t="shared" si="39"/>
        <v>-5.4948575794696808E-2</v>
      </c>
      <c r="V81" s="9">
        <f>Summary!$L$82</f>
        <v>5963489.4185827896</v>
      </c>
      <c r="W81" s="9">
        <f>W79*0.21</f>
        <v>5963489.3002286823</v>
      </c>
      <c r="X81" s="9">
        <f t="shared" ref="X81:X83" si="41">W81-V81</f>
        <v>-0.11835410725325346</v>
      </c>
    </row>
    <row r="82" spans="1:24" x14ac:dyDescent="0.2">
      <c r="A82" s="11" t="s">
        <v>132</v>
      </c>
      <c r="B82" s="9">
        <f>Summary!$B$83</f>
        <v>-1105536.0532190874</v>
      </c>
      <c r="C82" s="9">
        <f>C83-C81</f>
        <v>-13870006.676432326</v>
      </c>
      <c r="D82" s="9"/>
      <c r="F82" s="9">
        <f>Summary!$D$83</f>
        <v>0</v>
      </c>
      <c r="G82" s="9">
        <f>G83-G81</f>
        <v>-4581929.7253996413</v>
      </c>
      <c r="H82" s="9"/>
      <c r="J82" s="9">
        <f>Summary!$F$83</f>
        <v>-1105536.0532190874</v>
      </c>
      <c r="K82" s="9">
        <f>K83-K81</f>
        <v>-1105536.0532190874</v>
      </c>
      <c r="L82" s="9">
        <f t="shared" si="37"/>
        <v>0</v>
      </c>
      <c r="N82" s="9">
        <f>Summary!$H$83</f>
        <v>-14008794.664235296</v>
      </c>
      <c r="O82" s="9">
        <f>O83-O81</f>
        <v>-14008794.664235292</v>
      </c>
      <c r="P82" s="9">
        <f t="shared" si="38"/>
        <v>0</v>
      </c>
      <c r="R82" s="9">
        <f>Summary!$J$83</f>
        <v>-15114330.717454383</v>
      </c>
      <c r="S82" s="9">
        <f>S83-S81</f>
        <v>-15114330.717454381</v>
      </c>
      <c r="T82" s="9">
        <f t="shared" si="39"/>
        <v>0</v>
      </c>
      <c r="V82" s="9">
        <f>Summary!$L$83</f>
        <v>0</v>
      </c>
      <c r="W82" s="9">
        <f>W83-W81</f>
        <v>0</v>
      </c>
      <c r="X82" s="9">
        <f t="shared" si="41"/>
        <v>0</v>
      </c>
    </row>
    <row r="83" spans="1:24" x14ac:dyDescent="0.2">
      <c r="A83" s="11" t="s">
        <v>133</v>
      </c>
      <c r="B83" s="9">
        <f>Summary!$B$84</f>
        <v>18041169.881600775</v>
      </c>
      <c r="C83" s="9">
        <f>[1]Results!$C$83</f>
        <v>18041169.881600775</v>
      </c>
      <c r="D83" s="9">
        <f t="shared" ref="D83" si="42">C83-B83</f>
        <v>0</v>
      </c>
      <c r="F83" s="9">
        <f>Summary!$D$84</f>
        <v>6872894.5879040686</v>
      </c>
      <c r="G83" s="9">
        <f>[1]Results!$D$83</f>
        <v>6872894.5880994629</v>
      </c>
      <c r="H83" s="9">
        <f t="shared" ref="H83" si="43">G83-F83</f>
        <v>1.9539427012205124E-4</v>
      </c>
      <c r="J83" s="9">
        <f>Summary!$F$84</f>
        <v>24914064.469504841</v>
      </c>
      <c r="K83" s="9">
        <f>[1]Results!G83</f>
        <v>24914064.46970024</v>
      </c>
      <c r="L83" s="9">
        <f t="shared" ref="L83" si="44">K83-J83</f>
        <v>1.9539892673492432E-4</v>
      </c>
      <c r="N83" s="9">
        <f>Summary!$H$84</f>
        <v>-22880080.09332227</v>
      </c>
      <c r="O83" s="9">
        <f>[1]Results!$H$83</f>
        <v>-22880080.011172071</v>
      </c>
      <c r="P83" s="9">
        <f t="shared" ref="P83" si="45">O83-N83</f>
        <v>8.2150198519229889E-2</v>
      </c>
      <c r="R83" s="9">
        <f>Summary!$J$84</f>
        <v>2033984.5134767424</v>
      </c>
      <c r="S83" s="9">
        <f>[1]Results!I83</f>
        <v>2033984.4585281685</v>
      </c>
      <c r="T83" s="9">
        <f t="shared" ref="T83" si="46">S83-R83</f>
        <v>-5.4948573932051659E-2</v>
      </c>
      <c r="V83" s="9">
        <f>Summary!$L$84</f>
        <v>5963489.4185827896</v>
      </c>
      <c r="W83" s="9">
        <f>[1]Results!$H$171</f>
        <v>5963489.3002286823</v>
      </c>
      <c r="X83" s="9">
        <f t="shared" si="41"/>
        <v>-0.11835410725325346</v>
      </c>
    </row>
    <row r="84" spans="1:24" x14ac:dyDescent="0.2">
      <c r="A84" s="11"/>
      <c r="B84" s="9"/>
      <c r="C84" s="9"/>
      <c r="D84" s="9"/>
    </row>
    <row r="85" spans="1:24" x14ac:dyDescent="0.2">
      <c r="A85" s="11"/>
      <c r="B85" s="9"/>
      <c r="C85" s="9"/>
      <c r="D85" s="9"/>
    </row>
    <row r="86" spans="1:24" x14ac:dyDescent="0.2">
      <c r="A86" s="11"/>
      <c r="B86" s="9"/>
      <c r="C86" s="9"/>
      <c r="D86" s="9"/>
    </row>
    <row r="87" spans="1:24" x14ac:dyDescent="0.2">
      <c r="A87" s="23"/>
      <c r="B87" s="9"/>
      <c r="C87" s="9"/>
      <c r="D87" s="9"/>
    </row>
    <row r="88" spans="1:24" x14ac:dyDescent="0.2">
      <c r="A88" s="21"/>
      <c r="B88" s="6"/>
      <c r="C88" s="6"/>
      <c r="D88" s="6"/>
    </row>
    <row r="89" spans="1:24" x14ac:dyDescent="0.2">
      <c r="A89" s="21"/>
    </row>
    <row r="90" spans="1:24" x14ac:dyDescent="0.2">
      <c r="A90" s="21"/>
    </row>
    <row r="91" spans="1:24" x14ac:dyDescent="0.2">
      <c r="A91" s="21"/>
    </row>
    <row r="92" spans="1:24" x14ac:dyDescent="0.2">
      <c r="A92" s="21"/>
    </row>
    <row r="93" spans="1:24" x14ac:dyDescent="0.2">
      <c r="A93" s="21"/>
    </row>
    <row r="94" spans="1:24" x14ac:dyDescent="0.2">
      <c r="A94" s="21"/>
    </row>
    <row r="95" spans="1:24" x14ac:dyDescent="0.2">
      <c r="A95" s="21"/>
    </row>
    <row r="96" spans="1:24" x14ac:dyDescent="0.2">
      <c r="A96" s="21"/>
    </row>
    <row r="97" spans="1:1" x14ac:dyDescent="0.2">
      <c r="A97" s="21"/>
    </row>
    <row r="98" spans="1:1" x14ac:dyDescent="0.2">
      <c r="A98" s="21"/>
    </row>
    <row r="99" spans="1:1" x14ac:dyDescent="0.2">
      <c r="A99" s="21"/>
    </row>
    <row r="100" spans="1:1" x14ac:dyDescent="0.2">
      <c r="A100" s="21"/>
    </row>
    <row r="101" spans="1:1" x14ac:dyDescent="0.2">
      <c r="A101" s="21"/>
    </row>
    <row r="102" spans="1:1" x14ac:dyDescent="0.2">
      <c r="A102" s="21"/>
    </row>
    <row r="103" spans="1:1" x14ac:dyDescent="0.2">
      <c r="A103" s="21"/>
    </row>
    <row r="104" spans="1:1" x14ac:dyDescent="0.2">
      <c r="A104" s="21"/>
    </row>
    <row r="105" spans="1:1" x14ac:dyDescent="0.2">
      <c r="A105" s="21"/>
    </row>
    <row r="106" spans="1:1" x14ac:dyDescent="0.2">
      <c r="A106" s="21"/>
    </row>
    <row r="107" spans="1:1" x14ac:dyDescent="0.2">
      <c r="A107" s="21"/>
    </row>
    <row r="108" spans="1:1" x14ac:dyDescent="0.2">
      <c r="A108" s="21"/>
    </row>
    <row r="109" spans="1:1" x14ac:dyDescent="0.2">
      <c r="A109" s="21"/>
    </row>
    <row r="110" spans="1:1" x14ac:dyDescent="0.2">
      <c r="A110" s="21"/>
    </row>
    <row r="111" spans="1:1" x14ac:dyDescent="0.2">
      <c r="A111" s="21"/>
    </row>
    <row r="112" spans="1: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  <row r="142" spans="1:1" x14ac:dyDescent="0.2">
      <c r="A142" s="21"/>
    </row>
    <row r="143" spans="1:1" x14ac:dyDescent="0.2">
      <c r="A143" s="21"/>
    </row>
    <row r="144" spans="1:1" x14ac:dyDescent="0.2">
      <c r="A144" s="21"/>
    </row>
  </sheetData>
  <pageMargins left="0.7" right="0.7" top="0.75" bottom="0.75" header="0.3" footer="0.3"/>
  <pageSetup scale="40" orientation="landscape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96"/>
  <sheetViews>
    <sheetView view="pageBreakPreview" zoomScaleNormal="100" zoomScaleSheetLayoutView="100" workbookViewId="0">
      <selection activeCell="F69" sqref="F69"/>
    </sheetView>
  </sheetViews>
  <sheetFormatPr defaultRowHeight="11.25" x14ac:dyDescent="0.2"/>
  <cols>
    <col min="1" max="1" width="4.28515625" style="68" customWidth="1"/>
    <col min="2" max="2" width="11.140625" style="165" customWidth="1"/>
    <col min="3" max="3" width="51.5703125" style="68" bestFit="1" customWidth="1"/>
    <col min="4" max="4" width="10.7109375" style="68" customWidth="1"/>
    <col min="5" max="5" width="12" style="68" bestFit="1" customWidth="1"/>
    <col min="6" max="6" width="10.7109375" style="68" customWidth="1"/>
    <col min="7" max="7" width="22.7109375" style="242" customWidth="1"/>
    <col min="8" max="8" width="10.42578125" style="68" bestFit="1" customWidth="1"/>
    <col min="9" max="16384" width="9.140625" style="68"/>
  </cols>
  <sheetData>
    <row r="1" spans="1:9" ht="19.5" x14ac:dyDescent="0.3">
      <c r="A1" s="172" t="s">
        <v>188</v>
      </c>
      <c r="C1" s="173"/>
      <c r="D1" s="173"/>
      <c r="E1" s="173"/>
      <c r="F1" s="173"/>
      <c r="G1" s="241"/>
    </row>
    <row r="2" spans="1:9" ht="6" customHeight="1" x14ac:dyDescent="0.2">
      <c r="A2" s="174"/>
    </row>
    <row r="3" spans="1:9" ht="12.75" customHeight="1" x14ac:dyDescent="0.2">
      <c r="A3" s="285" t="s">
        <v>213</v>
      </c>
      <c r="B3" s="285"/>
      <c r="C3" s="285"/>
      <c r="D3" s="285"/>
      <c r="E3" s="285"/>
      <c r="F3" s="285"/>
      <c r="G3" s="285"/>
    </row>
    <row r="4" spans="1:9" ht="12.75" customHeight="1" x14ac:dyDescent="0.2">
      <c r="A4" s="285"/>
      <c r="B4" s="285"/>
      <c r="C4" s="285"/>
      <c r="D4" s="285"/>
      <c r="E4" s="285"/>
      <c r="F4" s="285"/>
      <c r="G4" s="285"/>
    </row>
    <row r="5" spans="1:9" ht="12.75" x14ac:dyDescent="0.2">
      <c r="B5" s="175"/>
      <c r="G5" s="68"/>
    </row>
    <row r="6" spans="1:9" x14ac:dyDescent="0.2">
      <c r="B6" s="182" t="s">
        <v>214</v>
      </c>
      <c r="C6" s="182" t="s">
        <v>215</v>
      </c>
      <c r="D6" s="182" t="s">
        <v>216</v>
      </c>
      <c r="E6" s="182" t="s">
        <v>217</v>
      </c>
      <c r="F6" s="182" t="s">
        <v>218</v>
      </c>
      <c r="G6" s="182" t="s">
        <v>219</v>
      </c>
    </row>
    <row r="7" spans="1:9" x14ac:dyDescent="0.2">
      <c r="D7" s="176" t="s">
        <v>172</v>
      </c>
      <c r="E7" s="177" t="s">
        <v>173</v>
      </c>
      <c r="F7" s="176" t="s">
        <v>175</v>
      </c>
      <c r="G7" s="281" t="s">
        <v>156</v>
      </c>
    </row>
    <row r="8" spans="1:9" x14ac:dyDescent="0.2">
      <c r="C8" s="166" t="s">
        <v>174</v>
      </c>
      <c r="D8" s="167">
        <f>Unadj_Op_revenue</f>
        <v>65862798.296151578</v>
      </c>
      <c r="E8" s="167">
        <f>Unadj_rate_base</f>
        <v>778699634.34485626</v>
      </c>
      <c r="F8" s="167">
        <f>-(D8-(E8*Overall_ROR))/gross_up_factor</f>
        <v>-7891176.7000832269</v>
      </c>
      <c r="G8" s="66" t="s">
        <v>329</v>
      </c>
    </row>
    <row r="9" spans="1:9" x14ac:dyDescent="0.2">
      <c r="C9" s="166"/>
      <c r="D9" s="167"/>
      <c r="E9" s="167"/>
      <c r="F9" s="167"/>
      <c r="G9" s="243"/>
    </row>
    <row r="10" spans="1:9" s="180" customFormat="1" ht="24.75" customHeight="1" x14ac:dyDescent="0.2">
      <c r="A10" s="178" t="s">
        <v>212</v>
      </c>
      <c r="B10" s="178" t="s">
        <v>205</v>
      </c>
      <c r="C10" s="178"/>
      <c r="D10" s="178"/>
      <c r="E10" s="178"/>
      <c r="F10" s="179"/>
      <c r="G10" s="246"/>
    </row>
    <row r="11" spans="1:9" x14ac:dyDescent="0.2">
      <c r="A11" s="165">
        <v>1</v>
      </c>
      <c r="B11" s="164" t="str">
        <f t="array" ref="B11:B14">TRANSPOSE('Total Adj'!C8:F8)</f>
        <v>3.1</v>
      </c>
      <c r="C11" s="68" t="str">
        <f t="array" ref="C11:C14">TRANSPOSE('Total Adj'!C9:F9)</f>
        <v>Temperature Normalization</v>
      </c>
      <c r="D11" s="66">
        <f t="array" ref="D11:D14">TRANSPOSE('Total Adj'!C40:F40)</f>
        <v>-5106556.0026000002</v>
      </c>
      <c r="E11" s="66">
        <f t="array" ref="E11:E14">TRANSPOSE('Total Adj'!C67:F67)</f>
        <v>0</v>
      </c>
      <c r="F11" s="66">
        <f t="shared" ref="F11:F29" si="0">-(D11-(E11*Overall_ROR))/gross_up_factor</f>
        <v>6780264.2270464059</v>
      </c>
      <c r="G11" s="66" t="s">
        <v>330</v>
      </c>
      <c r="H11" s="70"/>
    </row>
    <row r="12" spans="1:9" x14ac:dyDescent="0.2">
      <c r="A12" s="165">
        <f>A11+1</f>
        <v>2</v>
      </c>
      <c r="B12" s="164" t="str">
        <v>3.2</v>
      </c>
      <c r="C12" s="68" t="str">
        <v>Revenue Normalizing</v>
      </c>
      <c r="D12" s="66">
        <v>23163903.480510969</v>
      </c>
      <c r="E12" s="66">
        <v>0</v>
      </c>
      <c r="F12" s="66">
        <f t="shared" si="0"/>
        <v>-30756029.317547593</v>
      </c>
      <c r="G12" s="66" t="s">
        <v>330</v>
      </c>
    </row>
    <row r="13" spans="1:9" x14ac:dyDescent="0.2">
      <c r="A13" s="165">
        <f t="shared" ref="A13:A76" si="1">A12+1</f>
        <v>3</v>
      </c>
      <c r="B13" s="164" t="str">
        <v>3.3</v>
      </c>
      <c r="C13" s="68" t="str">
        <v>Wheeling Revenue</v>
      </c>
      <c r="D13" s="66">
        <v>49005.722064279988</v>
      </c>
      <c r="E13" s="66">
        <v>0</v>
      </c>
      <c r="F13" s="66">
        <f>-(D13-(E13*Overall_ROR))/gross_up_factor</f>
        <v>-65067.678502662136</v>
      </c>
      <c r="G13" s="66" t="s">
        <v>330</v>
      </c>
    </row>
    <row r="14" spans="1:9" x14ac:dyDescent="0.2">
      <c r="A14" s="165">
        <f t="shared" si="1"/>
        <v>4</v>
      </c>
      <c r="B14" s="164" t="str">
        <v>3.4</v>
      </c>
      <c r="C14" s="68" t="str">
        <v>Ancillary Revenue</v>
      </c>
      <c r="D14" s="69">
        <v>360722.63381521613</v>
      </c>
      <c r="E14" s="69">
        <v>0</v>
      </c>
      <c r="F14" s="69">
        <f t="shared" si="0"/>
        <v>-478951.91371601424</v>
      </c>
      <c r="G14" s="66" t="s">
        <v>330</v>
      </c>
    </row>
    <row r="15" spans="1:9" x14ac:dyDescent="0.2">
      <c r="A15" s="165">
        <f>A14+1</f>
        <v>5</v>
      </c>
      <c r="B15" s="164"/>
      <c r="C15" s="166" t="s">
        <v>206</v>
      </c>
      <c r="D15" s="167">
        <f>SUM(D11:D14)</f>
        <v>18467075.833790466</v>
      </c>
      <c r="E15" s="167">
        <f>SUM(E11:E14)</f>
        <v>0</v>
      </c>
      <c r="F15" s="167">
        <f>SUM(F11:F14)</f>
        <v>-24519784.682719868</v>
      </c>
      <c r="G15" s="243"/>
    </row>
    <row r="16" spans="1:9" x14ac:dyDescent="0.2">
      <c r="A16" s="165">
        <f t="shared" si="1"/>
        <v>6</v>
      </c>
      <c r="D16" s="66"/>
      <c r="E16" s="66"/>
      <c r="F16" s="66"/>
      <c r="G16" s="243"/>
      <c r="H16" s="192">
        <f>SUM('Total Adj'!C71:F71)-F15</f>
        <v>0</v>
      </c>
      <c r="I16" s="68" t="s">
        <v>241</v>
      </c>
    </row>
    <row r="17" spans="1:9" x14ac:dyDescent="0.2">
      <c r="A17" s="165">
        <f t="shared" si="1"/>
        <v>7</v>
      </c>
      <c r="B17" s="165" t="str">
        <f t="array" ref="B17:B29">TRANSPOSE('Total Adj'!G8:S8)</f>
        <v>4.1</v>
      </c>
      <c r="C17" s="68" t="str">
        <f t="array" ref="C17:C29">TRANSPOSE('Total Adj'!G9:S9)</f>
        <v>Miscellaneous Expense &amp; Revenue</v>
      </c>
      <c r="D17" s="66">
        <f t="array" ref="D17:D29">TRANSPOSE('Total Adj'!G40:S40)</f>
        <v>166706.21383796388</v>
      </c>
      <c r="E17" s="66">
        <f t="array" ref="E17:E29">TRANSPOSE('Total Adj'!G67:S67)</f>
        <v>0</v>
      </c>
      <c r="F17" s="66">
        <f t="shared" ref="F17:F19" si="2">-(D17-(E17*Overall_ROR))/gross_up_factor</f>
        <v>-221345.30151757802</v>
      </c>
      <c r="G17" s="66" t="s">
        <v>331</v>
      </c>
      <c r="H17" s="192"/>
    </row>
    <row r="18" spans="1:9" x14ac:dyDescent="0.2">
      <c r="A18" s="165">
        <f t="shared" si="1"/>
        <v>8</v>
      </c>
      <c r="B18" s="165" t="str">
        <v>4.2</v>
      </c>
      <c r="C18" s="68" t="str">
        <v>General Wage Increase (Annualizing)</v>
      </c>
      <c r="D18" s="66">
        <v>-140580.44927912476</v>
      </c>
      <c r="E18" s="66">
        <v>0</v>
      </c>
      <c r="F18" s="66">
        <f t="shared" si="2"/>
        <v>186656.64114601974</v>
      </c>
      <c r="G18" s="66" t="s">
        <v>331</v>
      </c>
      <c r="H18" s="66"/>
    </row>
    <row r="19" spans="1:9" x14ac:dyDescent="0.2">
      <c r="A19" s="165">
        <f t="shared" si="1"/>
        <v>9</v>
      </c>
      <c r="B19" s="165" t="str">
        <v>4.3</v>
      </c>
      <c r="C19" s="68" t="str">
        <v>General Wage Increase 
(Pro Forma)</v>
      </c>
      <c r="D19" s="66">
        <v>-1004902.1933376188</v>
      </c>
      <c r="E19" s="66">
        <v>0</v>
      </c>
      <c r="F19" s="66">
        <f t="shared" si="2"/>
        <v>1334265.6752806464</v>
      </c>
      <c r="G19" s="66" t="s">
        <v>331</v>
      </c>
      <c r="H19" s="192"/>
    </row>
    <row r="20" spans="1:9" x14ac:dyDescent="0.2">
      <c r="A20" s="165">
        <f t="shared" si="1"/>
        <v>10</v>
      </c>
      <c r="B20" s="164" t="str">
        <v>4.4</v>
      </c>
      <c r="C20" s="68" t="str">
        <v>Insurance Expense</v>
      </c>
      <c r="D20" s="66">
        <v>431317.01073983655</v>
      </c>
      <c r="E20" s="66">
        <v>0</v>
      </c>
      <c r="F20" s="66">
        <f t="shared" si="0"/>
        <v>-572684.07454004721</v>
      </c>
      <c r="G20" s="66" t="s">
        <v>331</v>
      </c>
    </row>
    <row r="21" spans="1:9" x14ac:dyDescent="0.2">
      <c r="A21" s="165">
        <f t="shared" si="1"/>
        <v>11</v>
      </c>
      <c r="B21" s="164" t="str">
        <v>4.5</v>
      </c>
      <c r="C21" s="68" t="str">
        <v>Advertising</v>
      </c>
      <c r="D21" s="66">
        <v>10270.60809163968</v>
      </c>
      <c r="E21" s="66">
        <v>0</v>
      </c>
      <c r="F21" s="66">
        <f t="shared" si="0"/>
        <v>-13636.869271247004</v>
      </c>
      <c r="G21" s="66" t="s">
        <v>331</v>
      </c>
    </row>
    <row r="22" spans="1:9" x14ac:dyDescent="0.2">
      <c r="A22" s="165">
        <f t="shared" si="1"/>
        <v>12</v>
      </c>
      <c r="B22" s="164" t="str">
        <v>4.6</v>
      </c>
      <c r="C22" s="68" t="str">
        <v>Memberships &amp; Subscriptions</v>
      </c>
      <c r="D22" s="66">
        <v>-12541.604483466414</v>
      </c>
      <c r="E22" s="66">
        <v>0</v>
      </c>
      <c r="F22" s="66">
        <f t="shared" si="0"/>
        <v>16652.200070990391</v>
      </c>
      <c r="G22" s="66" t="s">
        <v>331</v>
      </c>
    </row>
    <row r="23" spans="1:9" x14ac:dyDescent="0.2">
      <c r="A23" s="165">
        <f t="shared" si="1"/>
        <v>13</v>
      </c>
      <c r="B23" s="164" t="str">
        <v>4.7</v>
      </c>
      <c r="C23" s="68" t="str">
        <v>Revenue-Sensitive/ Uncollectible Expense</v>
      </c>
      <c r="D23" s="66">
        <v>-49184.515258546809</v>
      </c>
      <c r="E23" s="66">
        <v>0</v>
      </c>
      <c r="F23" s="66">
        <f t="shared" si="0"/>
        <v>65305.072374091229</v>
      </c>
      <c r="G23" s="66" t="s">
        <v>332</v>
      </c>
    </row>
    <row r="24" spans="1:9" x14ac:dyDescent="0.2">
      <c r="A24" s="165">
        <f t="shared" si="1"/>
        <v>14</v>
      </c>
      <c r="B24" s="164" t="str">
        <v>4.8</v>
      </c>
      <c r="C24" s="68" t="str">
        <v>Legal Expenses</v>
      </c>
      <c r="D24" s="66">
        <v>-30760.944884667053</v>
      </c>
      <c r="E24" s="66">
        <v>0</v>
      </c>
      <c r="F24" s="66">
        <f t="shared" si="0"/>
        <v>40843.052359645561</v>
      </c>
      <c r="G24" s="66" t="s">
        <v>332</v>
      </c>
    </row>
    <row r="25" spans="1:9" x14ac:dyDescent="0.2">
      <c r="A25" s="165">
        <f t="shared" si="1"/>
        <v>15</v>
      </c>
      <c r="B25" s="164" t="str">
        <v>4.9</v>
      </c>
      <c r="C25" s="68" t="str">
        <v>Payment Fees and Bill Credits</v>
      </c>
      <c r="D25" s="66">
        <v>-1031460.2780545783</v>
      </c>
      <c r="E25" s="66">
        <v>0</v>
      </c>
      <c r="F25" s="66">
        <f t="shared" si="0"/>
        <v>1369528.3516624556</v>
      </c>
      <c r="G25" s="66" t="s">
        <v>332</v>
      </c>
    </row>
    <row r="26" spans="1:9" x14ac:dyDescent="0.2">
      <c r="A26" s="165">
        <f t="shared" si="1"/>
        <v>16</v>
      </c>
      <c r="B26" s="164" t="str">
        <v>4.10</v>
      </c>
      <c r="C26" s="68" t="str">
        <v>Remove Non-Recurring Entries</v>
      </c>
      <c r="D26" s="66">
        <v>-199240.9467</v>
      </c>
      <c r="E26" s="66">
        <v>0</v>
      </c>
      <c r="F26" s="66">
        <f t="shared" si="0"/>
        <v>264543.51284604659</v>
      </c>
      <c r="G26" s="66" t="s">
        <v>332</v>
      </c>
    </row>
    <row r="27" spans="1:9" x14ac:dyDescent="0.2">
      <c r="A27" s="165">
        <f t="shared" si="1"/>
        <v>17</v>
      </c>
      <c r="B27" s="164" t="str">
        <v>4.11</v>
      </c>
      <c r="C27" s="68" t="str">
        <v>Environmental Remediation</v>
      </c>
      <c r="D27" s="66">
        <v>-346607.33541061811</v>
      </c>
      <c r="E27" s="66">
        <v>-20743.75673634035</v>
      </c>
      <c r="F27" s="66">
        <f t="shared" si="0"/>
        <v>458090.87173366011</v>
      </c>
      <c r="G27" s="66" t="s">
        <v>332</v>
      </c>
    </row>
    <row r="28" spans="1:9" x14ac:dyDescent="0.2">
      <c r="A28" s="165">
        <f t="shared" si="1"/>
        <v>18</v>
      </c>
      <c r="B28" s="164" t="str">
        <v>4.12</v>
      </c>
      <c r="C28" s="68" t="str">
        <v>Credit Facility Fee Adjustment</v>
      </c>
      <c r="D28" s="66">
        <v>-80284.29031160046</v>
      </c>
      <c r="E28" s="66">
        <v>0</v>
      </c>
      <c r="F28" s="66">
        <f t="shared" si="0"/>
        <v>106598.00877859717</v>
      </c>
      <c r="G28" s="66" t="s">
        <v>332</v>
      </c>
    </row>
    <row r="29" spans="1:9" x14ac:dyDescent="0.2">
      <c r="A29" s="165">
        <f t="shared" si="1"/>
        <v>19</v>
      </c>
      <c r="B29" s="168" t="str">
        <v>4.13</v>
      </c>
      <c r="C29" s="68" t="str">
        <v>Amortization of Pension Settlement Adjustment</v>
      </c>
      <c r="D29" s="69">
        <v>-116541.73817039606</v>
      </c>
      <c r="E29" s="69">
        <v>0</v>
      </c>
      <c r="F29" s="69">
        <f t="shared" si="0"/>
        <v>154739.08009081334</v>
      </c>
      <c r="G29" s="66" t="s">
        <v>332</v>
      </c>
    </row>
    <row r="30" spans="1:9" x14ac:dyDescent="0.2">
      <c r="A30" s="165">
        <f t="shared" si="1"/>
        <v>20</v>
      </c>
      <c r="B30" s="164"/>
      <c r="C30" s="166" t="s">
        <v>207</v>
      </c>
      <c r="D30" s="170">
        <f t="shared" ref="D30:E30" si="3">SUM(D17:D29)</f>
        <v>-2403810.4632211765</v>
      </c>
      <c r="E30" s="170">
        <f t="shared" si="3"/>
        <v>-20743.75673634035</v>
      </c>
      <c r="F30" s="170">
        <f>SUM(F17:F29)</f>
        <v>3189556.2210140945</v>
      </c>
      <c r="G30" s="243"/>
      <c r="H30" s="192">
        <f>SUM('Total Adj'!G71:S71)-F30</f>
        <v>0</v>
      </c>
      <c r="I30" s="68" t="s">
        <v>241</v>
      </c>
    </row>
    <row r="31" spans="1:9" x14ac:dyDescent="0.2">
      <c r="A31" s="165">
        <f t="shared" si="1"/>
        <v>21</v>
      </c>
      <c r="D31" s="66"/>
      <c r="E31" s="66"/>
      <c r="F31" s="66"/>
      <c r="G31" s="243"/>
    </row>
    <row r="32" spans="1:9" x14ac:dyDescent="0.2">
      <c r="A32" s="165">
        <f t="shared" si="1"/>
        <v>22</v>
      </c>
      <c r="B32" s="164" t="str">
        <f t="array" ref="B32:B36">TRANSPOSE('Total Adj'!T8:X8)</f>
        <v>5.1</v>
      </c>
      <c r="C32" s="68" t="str">
        <f t="array" ref="C32:C36">TRANSPOSE('Total Adj'!T9:X9)</f>
        <v>Net Power Costs - Restating</v>
      </c>
      <c r="D32" s="66">
        <f t="array" ref="D32:D36">TRANSPOSE('Total Adj'!T40:X40)</f>
        <v>4483748.6087659458</v>
      </c>
      <c r="E32" s="66">
        <f t="array" ref="E32:E36">TRANSPOSE('Total Adj'!T67:X67)</f>
        <v>0</v>
      </c>
      <c r="F32" s="66">
        <f t="shared" ref="F32:F36" si="4">-(D32-(E32*Overall_ROR))/gross_up_factor</f>
        <v>-5953327.5028426554</v>
      </c>
      <c r="G32" s="66" t="s">
        <v>333</v>
      </c>
    </row>
    <row r="33" spans="1:9" x14ac:dyDescent="0.2">
      <c r="A33" s="165">
        <f t="shared" si="1"/>
        <v>23</v>
      </c>
      <c r="B33" s="164" t="str">
        <v>5.2</v>
      </c>
      <c r="C33" s="68" t="str">
        <v>Net Power Costs - Pro Forma</v>
      </c>
      <c r="D33" s="66">
        <v>2581727.277485149</v>
      </c>
      <c r="E33" s="66">
        <v>0</v>
      </c>
      <c r="F33" s="66">
        <f t="shared" ref="F33:F35" si="5">-(D33-(E33*Overall_ROR))/gross_up_factor</f>
        <v>-3427905.8321518279</v>
      </c>
      <c r="G33" s="66" t="s">
        <v>333</v>
      </c>
    </row>
    <row r="34" spans="1:9" x14ac:dyDescent="0.2">
      <c r="A34" s="165">
        <f t="shared" si="1"/>
        <v>24</v>
      </c>
      <c r="B34" s="164" t="str">
        <v>5.3</v>
      </c>
      <c r="C34" s="68" t="str">
        <v>Colstrip #3 Removal</v>
      </c>
      <c r="D34" s="66">
        <v>433100.79308502469</v>
      </c>
      <c r="E34" s="66">
        <v>-5100655.5156755038</v>
      </c>
      <c r="F34" s="66">
        <f t="shared" si="5"/>
        <v>-1096178.9907136585</v>
      </c>
      <c r="G34" s="66" t="s">
        <v>333</v>
      </c>
    </row>
    <row r="35" spans="1:9" x14ac:dyDescent="0.2">
      <c r="A35" s="165">
        <f t="shared" si="1"/>
        <v>25</v>
      </c>
      <c r="B35" s="164" t="str">
        <v>5.4</v>
      </c>
      <c r="C35" s="68" t="str">
        <v>REC Purchase Adjustment</v>
      </c>
      <c r="D35" s="66">
        <v>-126400</v>
      </c>
      <c r="E35" s="66">
        <v>0</v>
      </c>
      <c r="F35" s="66">
        <f t="shared" si="5"/>
        <v>167828.45382725884</v>
      </c>
      <c r="G35" s="66" t="s">
        <v>333</v>
      </c>
    </row>
    <row r="36" spans="1:9" x14ac:dyDescent="0.2">
      <c r="A36" s="165">
        <f t="shared" si="1"/>
        <v>26</v>
      </c>
      <c r="B36" s="165" t="str">
        <v>5.5</v>
      </c>
      <c r="C36" s="68" t="str">
        <v>Nodal Pricing Model Adjustment</v>
      </c>
      <c r="D36" s="69">
        <v>-35145.107831941234</v>
      </c>
      <c r="E36" s="69">
        <v>286535.21479052107</v>
      </c>
      <c r="F36" s="69">
        <f t="shared" si="4"/>
        <v>75939.03663644912</v>
      </c>
      <c r="G36" s="66" t="s">
        <v>333</v>
      </c>
    </row>
    <row r="37" spans="1:9" x14ac:dyDescent="0.2">
      <c r="A37" s="165">
        <f t="shared" si="1"/>
        <v>27</v>
      </c>
      <c r="B37" s="164"/>
      <c r="C37" s="166" t="s">
        <v>208</v>
      </c>
      <c r="D37" s="167">
        <f>SUM(D32:D36)</f>
        <v>7337031.5715041785</v>
      </c>
      <c r="E37" s="167">
        <f>SUM(E32:E36)</f>
        <v>-4814120.3008849826</v>
      </c>
      <c r="F37" s="167">
        <f>SUM(F32:F36)</f>
        <v>-10233644.835244434</v>
      </c>
      <c r="G37" s="243"/>
      <c r="H37" s="192">
        <f>SUM('Total Adj'!T71:X71)-F37</f>
        <v>0</v>
      </c>
      <c r="I37" s="68" t="s">
        <v>241</v>
      </c>
    </row>
    <row r="38" spans="1:9" x14ac:dyDescent="0.2">
      <c r="A38" s="165">
        <f t="shared" si="1"/>
        <v>28</v>
      </c>
      <c r="D38" s="66"/>
      <c r="E38" s="66"/>
      <c r="F38" s="66"/>
      <c r="G38" s="243"/>
    </row>
    <row r="39" spans="1:9" x14ac:dyDescent="0.2">
      <c r="A39" s="165">
        <f t="shared" si="1"/>
        <v>29</v>
      </c>
      <c r="B39" s="193" t="str">
        <f t="array" ref="B39:B43">TRANSPOSE('Total Adj'!Y8:AC8)</f>
        <v>6.1</v>
      </c>
      <c r="C39" s="68" t="str">
        <f t="array" ref="C39:C43">TRANSPOSE('Total Adj'!Y9:AC9)</f>
        <v>Pro Forma Depreciation &amp; Amortization Expense</v>
      </c>
      <c r="D39" s="169">
        <f t="array" ref="D39:D43">TRANSPOSE('Total Adj'!Y40:AC40)</f>
        <v>1936993.8255180337</v>
      </c>
      <c r="E39" s="169">
        <f t="array" ref="E39:E43">TRANSPOSE('Total Adj'!Y67:AC67)</f>
        <v>0</v>
      </c>
      <c r="F39" s="169">
        <f t="shared" ref="F39:F43" si="6">-(D39-(E39*Overall_ROR))/gross_up_factor</f>
        <v>-2571856.6361522055</v>
      </c>
      <c r="G39" s="66" t="s">
        <v>334</v>
      </c>
    </row>
    <row r="40" spans="1:9" x14ac:dyDescent="0.2">
      <c r="A40" s="165">
        <f t="shared" si="1"/>
        <v>30</v>
      </c>
      <c r="B40" s="193" t="str">
        <v>6.2</v>
      </c>
      <c r="C40" s="68" t="str">
        <v>Pro Forma Depreciation &amp; Amortization Reserves</v>
      </c>
      <c r="D40" s="169">
        <v>0</v>
      </c>
      <c r="E40" s="169">
        <v>-55137271.460930869</v>
      </c>
      <c r="F40" s="169">
        <f t="shared" ref="F40" si="7">-(D40-(E40*Overall_ROR))/gross_up_factor</f>
        <v>-5633294.092741346</v>
      </c>
      <c r="G40" s="66" t="s">
        <v>334</v>
      </c>
    </row>
    <row r="41" spans="1:9" x14ac:dyDescent="0.2">
      <c r="A41" s="165">
        <f t="shared" si="1"/>
        <v>31</v>
      </c>
      <c r="B41" s="193" t="str">
        <v>6.3</v>
      </c>
      <c r="C41" s="68" t="str">
        <v>End-of-Period Reserves</v>
      </c>
      <c r="D41" s="169">
        <v>0</v>
      </c>
      <c r="E41" s="169">
        <v>-19123219.719212715</v>
      </c>
      <c r="F41" s="169">
        <f t="shared" si="6"/>
        <v>-1953791.2889789753</v>
      </c>
      <c r="G41" s="66" t="s">
        <v>335</v>
      </c>
    </row>
    <row r="42" spans="1:9" x14ac:dyDescent="0.2">
      <c r="A42" s="165">
        <f t="shared" si="1"/>
        <v>32</v>
      </c>
      <c r="B42" s="193" t="str">
        <v>6.4</v>
      </c>
      <c r="C42" s="68" t="str">
        <v>Accelerated Depreciation on Jim Bridger &amp; Colstrip</v>
      </c>
      <c r="D42" s="169">
        <v>-53801050.085389219</v>
      </c>
      <c r="E42" s="169">
        <v>-22940109.889799323</v>
      </c>
      <c r="F42" s="169">
        <f t="shared" si="6"/>
        <v>69090950.319808364</v>
      </c>
      <c r="G42" s="66" t="s">
        <v>336</v>
      </c>
    </row>
    <row r="43" spans="1:9" x14ac:dyDescent="0.2">
      <c r="A43" s="165">
        <f t="shared" si="1"/>
        <v>33</v>
      </c>
      <c r="B43" s="193" t="str">
        <v>6.5</v>
      </c>
      <c r="C43" s="68" t="str">
        <v>Depreciation Study</v>
      </c>
      <c r="D43" s="69">
        <v>-1863186.9613754379</v>
      </c>
      <c r="E43" s="69">
        <v>-470359.61073893483</v>
      </c>
      <c r="F43" s="69">
        <f t="shared" si="6"/>
        <v>2425803.1227054209</v>
      </c>
      <c r="G43" s="66" t="s">
        <v>337</v>
      </c>
    </row>
    <row r="44" spans="1:9" x14ac:dyDescent="0.2">
      <c r="A44" s="165">
        <f t="shared" si="1"/>
        <v>34</v>
      </c>
      <c r="B44" s="164"/>
      <c r="C44" s="166" t="s">
        <v>209</v>
      </c>
      <c r="D44" s="167">
        <f>SUM(D39:D43)</f>
        <v>-53727243.221246623</v>
      </c>
      <c r="E44" s="167">
        <f>SUM(E39:E43)</f>
        <v>-97670960.68068184</v>
      </c>
      <c r="F44" s="167">
        <f>SUM(F39:F43)</f>
        <v>61357811.424641259</v>
      </c>
      <c r="G44" s="243"/>
      <c r="H44" s="192">
        <f>SUM('Total Adj'!Y71:AC71)-F44</f>
        <v>0</v>
      </c>
      <c r="I44" s="68" t="s">
        <v>241</v>
      </c>
    </row>
    <row r="45" spans="1:9" x14ac:dyDescent="0.2">
      <c r="A45" s="165">
        <f t="shared" si="1"/>
        <v>35</v>
      </c>
      <c r="D45" s="66"/>
      <c r="E45" s="66"/>
      <c r="F45" s="66"/>
      <c r="G45" s="243"/>
    </row>
    <row r="46" spans="1:9" x14ac:dyDescent="0.2">
      <c r="A46" s="165">
        <f t="shared" si="1"/>
        <v>36</v>
      </c>
      <c r="B46" s="164" t="str">
        <f t="array" ref="B46:B57">TRANSPOSE('Total Adj'!AD8:AO8)</f>
        <v>7.1</v>
      </c>
      <c r="C46" s="68" t="str">
        <f t="array" ref="C46:C57">TRANSPOSE('Total Adj'!AD9:AO9)</f>
        <v>Interest True Up</v>
      </c>
      <c r="D46" s="66">
        <f t="array" ref="D46:D57">TRANSPOSE('Total Adj'!AD40:AO40)</f>
        <v>350879.53362716793</v>
      </c>
      <c r="E46" s="66">
        <f t="array" ref="E46:E57">TRANSPOSE('Total Adj'!AD67:AO67)</f>
        <v>0</v>
      </c>
      <c r="F46" s="66">
        <f t="shared" ref="F46:F57" si="8">-(D46-(E46*Overall_ROR))/gross_up_factor</f>
        <v>-465882.67095156066</v>
      </c>
      <c r="G46" s="66" t="s">
        <v>338</v>
      </c>
    </row>
    <row r="47" spans="1:9" x14ac:dyDescent="0.2">
      <c r="A47" s="165">
        <f t="shared" si="1"/>
        <v>37</v>
      </c>
      <c r="B47" s="164" t="str">
        <v>7.2</v>
      </c>
      <c r="C47" s="68" t="str">
        <v>Property Tax Expense</v>
      </c>
      <c r="D47" s="66">
        <v>-1692139.71</v>
      </c>
      <c r="E47" s="66">
        <v>0</v>
      </c>
      <c r="F47" s="66">
        <f t="shared" si="8"/>
        <v>2246749.9302927703</v>
      </c>
      <c r="G47" s="66" t="s">
        <v>338</v>
      </c>
    </row>
    <row r="48" spans="1:9" x14ac:dyDescent="0.2">
      <c r="A48" s="165">
        <f t="shared" si="1"/>
        <v>38</v>
      </c>
      <c r="B48" s="164" t="str">
        <v>7.3</v>
      </c>
      <c r="C48" s="68" t="str">
        <v>Production Tax Credit</v>
      </c>
      <c r="D48" s="66">
        <v>14008794.664235296</v>
      </c>
      <c r="E48" s="66">
        <v>0</v>
      </c>
      <c r="F48" s="66">
        <f t="shared" ref="F48:F50" si="9">-(D48-(E48*Overall_ROR))/gross_up_factor</f>
        <v>-18600271.744320914</v>
      </c>
      <c r="G48" s="66" t="s">
        <v>338</v>
      </c>
    </row>
    <row r="49" spans="1:9" x14ac:dyDescent="0.2">
      <c r="A49" s="165">
        <f t="shared" si="1"/>
        <v>39</v>
      </c>
      <c r="B49" s="164" t="str">
        <v>7.4</v>
      </c>
      <c r="C49" s="68" t="str">
        <v>PowerTax ADIT Balance</v>
      </c>
      <c r="D49" s="66">
        <v>0</v>
      </c>
      <c r="E49" s="66">
        <v>7638007.5587933287</v>
      </c>
      <c r="F49" s="66">
        <f t="shared" si="9"/>
        <v>780364.02094638185</v>
      </c>
      <c r="G49" s="66" t="s">
        <v>338</v>
      </c>
    </row>
    <row r="50" spans="1:9" x14ac:dyDescent="0.2">
      <c r="A50" s="165">
        <f t="shared" si="1"/>
        <v>40</v>
      </c>
      <c r="B50" s="164" t="str">
        <v>7.5</v>
      </c>
      <c r="C50" s="68" t="str">
        <v>Permanent Schedule M Adjustment</v>
      </c>
      <c r="D50" s="66">
        <v>115264.60668345177</v>
      </c>
      <c r="E50" s="66">
        <v>0</v>
      </c>
      <c r="F50" s="66">
        <f t="shared" si="9"/>
        <v>-153043.36013204776</v>
      </c>
      <c r="G50" s="66" t="s">
        <v>338</v>
      </c>
    </row>
    <row r="51" spans="1:9" x14ac:dyDescent="0.2">
      <c r="A51" s="165">
        <f t="shared" si="1"/>
        <v>41</v>
      </c>
      <c r="B51" s="164" t="str">
        <v>7.6</v>
      </c>
      <c r="C51" s="68" t="str">
        <v>Remove Deferred State Tax Expense &amp; Balance</v>
      </c>
      <c r="D51" s="66">
        <v>-2152429</v>
      </c>
      <c r="E51" s="66">
        <v>25563147</v>
      </c>
      <c r="F51" s="66">
        <f t="shared" si="8"/>
        <v>5469651.3508329149</v>
      </c>
      <c r="G51" s="66" t="s">
        <v>338</v>
      </c>
    </row>
    <row r="52" spans="1:9" x14ac:dyDescent="0.2">
      <c r="A52" s="165">
        <f t="shared" si="1"/>
        <v>42</v>
      </c>
      <c r="B52" s="164" t="str">
        <v>7.7</v>
      </c>
      <c r="C52" s="68" t="str">
        <v>WA Public Utility Tax Adjustment</v>
      </c>
      <c r="D52" s="66">
        <v>197797.04</v>
      </c>
      <c r="E52" s="66">
        <v>0</v>
      </c>
      <c r="F52" s="66">
        <f t="shared" si="8"/>
        <v>-262626.35597158602</v>
      </c>
      <c r="G52" s="66" t="s">
        <v>339</v>
      </c>
    </row>
    <row r="53" spans="1:9" x14ac:dyDescent="0.2">
      <c r="A53" s="165">
        <f t="shared" si="1"/>
        <v>43</v>
      </c>
      <c r="B53" s="164" t="str">
        <v>7.8</v>
      </c>
      <c r="C53" s="68" t="str">
        <v>AFUDC Equity</v>
      </c>
      <c r="D53" s="66">
        <v>-970.25057353796319</v>
      </c>
      <c r="E53" s="66">
        <v>0</v>
      </c>
      <c r="F53" s="66">
        <f t="shared" si="8"/>
        <v>1288.2567530212616</v>
      </c>
      <c r="G53" s="66" t="s">
        <v>339</v>
      </c>
    </row>
    <row r="54" spans="1:9" x14ac:dyDescent="0.2">
      <c r="A54" s="165">
        <f t="shared" si="1"/>
        <v>44</v>
      </c>
      <c r="B54" s="164" t="str">
        <v>7.9</v>
      </c>
      <c r="C54" s="68" t="str">
        <v>WA Low Income Tax Credit</v>
      </c>
      <c r="D54" s="66">
        <v>2613.3200000000002</v>
      </c>
      <c r="E54" s="66">
        <v>0</v>
      </c>
      <c r="F54" s="66">
        <f t="shared" si="8"/>
        <v>-3469.8532828785769</v>
      </c>
      <c r="G54" s="66" t="s">
        <v>339</v>
      </c>
    </row>
    <row r="55" spans="1:9" x14ac:dyDescent="0.2">
      <c r="A55" s="165">
        <f t="shared" si="1"/>
        <v>45</v>
      </c>
      <c r="B55" s="165" t="str">
        <v>7.10</v>
      </c>
      <c r="C55" s="68" t="str">
        <v>Wyoming Wind Generation Tax</v>
      </c>
      <c r="D55" s="66">
        <v>-142525.95688719166</v>
      </c>
      <c r="E55" s="66">
        <v>0</v>
      </c>
      <c r="F55" s="66">
        <f t="shared" si="8"/>
        <v>189239.80201446149</v>
      </c>
      <c r="G55" s="66" t="s">
        <v>339</v>
      </c>
    </row>
    <row r="56" spans="1:9" x14ac:dyDescent="0.2">
      <c r="A56" s="165">
        <f t="shared" si="1"/>
        <v>46</v>
      </c>
      <c r="B56" s="165" t="str">
        <v>7.11</v>
      </c>
      <c r="C56" s="68" t="str">
        <v>Removal of TCJA Deferred Balances</v>
      </c>
      <c r="D56" s="66">
        <v>4996016.26</v>
      </c>
      <c r="E56" s="66">
        <v>13617936</v>
      </c>
      <c r="F56" s="66">
        <f t="shared" si="8"/>
        <v>-5242169.8048817897</v>
      </c>
      <c r="G56" s="66" t="s">
        <v>339</v>
      </c>
    </row>
    <row r="57" spans="1:9" x14ac:dyDescent="0.2">
      <c r="A57" s="165">
        <f t="shared" si="1"/>
        <v>47</v>
      </c>
      <c r="B57" s="164" t="str">
        <v>7.12</v>
      </c>
      <c r="C57" s="68" t="str">
        <v>Depreciation Study Adjustment Tax Impacts</v>
      </c>
      <c r="D57" s="69">
        <v>-2877084.4045112403</v>
      </c>
      <c r="E57" s="69">
        <v>-344082.29787929845</v>
      </c>
      <c r="F57" s="69">
        <f t="shared" si="8"/>
        <v>3784913.8693687785</v>
      </c>
      <c r="G57" s="66" t="s">
        <v>339</v>
      </c>
    </row>
    <row r="58" spans="1:9" x14ac:dyDescent="0.2">
      <c r="A58" s="165">
        <f t="shared" si="1"/>
        <v>48</v>
      </c>
      <c r="B58" s="164"/>
      <c r="C58" s="166" t="s">
        <v>210</v>
      </c>
      <c r="D58" s="167">
        <f>SUM(D46:D57)</f>
        <v>12806216.102573946</v>
      </c>
      <c r="E58" s="167">
        <f>SUM(E46:E57)</f>
        <v>46475008.260914028</v>
      </c>
      <c r="F58" s="167">
        <f>SUM(F46:F57)</f>
        <v>-12255256.559332447</v>
      </c>
      <c r="G58" s="243"/>
      <c r="H58" s="192">
        <f>SUM('Total Adj'!AD71:AO71)-F58</f>
        <v>0</v>
      </c>
      <c r="I58" s="68" t="s">
        <v>241</v>
      </c>
    </row>
    <row r="59" spans="1:9" x14ac:dyDescent="0.2">
      <c r="A59" s="165">
        <f t="shared" si="1"/>
        <v>49</v>
      </c>
      <c r="B59" s="164"/>
      <c r="C59" s="166"/>
      <c r="D59" s="167"/>
      <c r="E59" s="167"/>
      <c r="F59" s="167"/>
      <c r="G59" s="243"/>
      <c r="H59" s="192"/>
    </row>
    <row r="60" spans="1:9" x14ac:dyDescent="0.2">
      <c r="A60" s="165">
        <f t="shared" si="1"/>
        <v>50</v>
      </c>
      <c r="B60" s="165" t="str">
        <f t="array" ref="B60:B73">TRANSPOSE('Total Adj'!AP8:BC8)</f>
        <v>8.1</v>
      </c>
      <c r="C60" s="68" t="str">
        <f t="array" ref="C60:C73">TRANSPOSE('Total Adj'!AP9:BC9)</f>
        <v>Jim Bridger Mine Rate Base</v>
      </c>
      <c r="D60" s="66">
        <f t="array" ref="D60:D73">TRANSPOSE('Total Adj'!AP40:BC40)</f>
        <v>0</v>
      </c>
      <c r="E60" s="66">
        <f t="array" ref="E60:E73">TRANSPOSE('Total Adj'!AP67:BC67)</f>
        <v>11495810.820444435</v>
      </c>
      <c r="F60" s="66">
        <f t="shared" ref="F60:F72" si="10">-(D60-(E60*Overall_ROR))/gross_up_factor</f>
        <v>1174510.1175702675</v>
      </c>
      <c r="G60" s="66" t="s">
        <v>340</v>
      </c>
    </row>
    <row r="61" spans="1:9" x14ac:dyDescent="0.2">
      <c r="A61" s="165">
        <f t="shared" si="1"/>
        <v>51</v>
      </c>
      <c r="B61" s="164" t="str">
        <v>8.2</v>
      </c>
      <c r="C61" s="68" t="str">
        <v>Regulatory Assets and Liabilities Amortization</v>
      </c>
      <c r="D61" s="66">
        <v>13462897.911036085</v>
      </c>
      <c r="E61" s="66">
        <v>-12227254.634166686</v>
      </c>
      <c r="F61" s="66">
        <f t="shared" si="10"/>
        <v>-19124694.30112794</v>
      </c>
      <c r="G61" s="66" t="s">
        <v>340</v>
      </c>
    </row>
    <row r="62" spans="1:9" x14ac:dyDescent="0.2">
      <c r="A62" s="165">
        <f t="shared" si="1"/>
        <v>52</v>
      </c>
      <c r="B62" s="164" t="str">
        <v>8.3</v>
      </c>
      <c r="C62" s="68" t="str">
        <v>Customer Advances for Construction</v>
      </c>
      <c r="D62" s="66">
        <v>0</v>
      </c>
      <c r="E62" s="66">
        <v>-2502028.2767103352</v>
      </c>
      <c r="F62" s="66">
        <f t="shared" si="10"/>
        <v>-255628.55646658764</v>
      </c>
      <c r="G62" s="66" t="s">
        <v>340</v>
      </c>
    </row>
    <row r="63" spans="1:9" x14ac:dyDescent="0.2">
      <c r="A63" s="165">
        <f t="shared" si="1"/>
        <v>53</v>
      </c>
      <c r="B63" s="164" t="str">
        <v>8.4</v>
      </c>
      <c r="C63" s="68" t="str">
        <v>Pro Forma Major Plant Additions</v>
      </c>
      <c r="D63" s="66">
        <v>-232480.14574271906</v>
      </c>
      <c r="E63" s="66">
        <v>70839343.314627215</v>
      </c>
      <c r="F63" s="66">
        <f t="shared" si="10"/>
        <v>7546228.8098859675</v>
      </c>
      <c r="G63" s="66" t="s">
        <v>341</v>
      </c>
    </row>
    <row r="64" spans="1:9" x14ac:dyDescent="0.2">
      <c r="A64" s="165">
        <f t="shared" si="1"/>
        <v>54</v>
      </c>
      <c r="B64" s="193" t="str">
        <v>8.5</v>
      </c>
      <c r="C64" s="68" t="str">
        <v>Miscellaneous Rate Base</v>
      </c>
      <c r="D64" s="66">
        <v>0</v>
      </c>
      <c r="E64" s="66">
        <v>-22786730.767553866</v>
      </c>
      <c r="F64" s="66">
        <f t="shared" si="10"/>
        <v>-2328086.8353579119</v>
      </c>
      <c r="G64" s="66" t="s">
        <v>340</v>
      </c>
    </row>
    <row r="65" spans="1:10" x14ac:dyDescent="0.2">
      <c r="A65" s="165">
        <f t="shared" si="1"/>
        <v>55</v>
      </c>
      <c r="B65" s="193" t="str">
        <v>8.6</v>
      </c>
      <c r="C65" s="68" t="str">
        <v>Removal of Colstrip #4 AFUDC</v>
      </c>
      <c r="D65" s="66">
        <v>208716</v>
      </c>
      <c r="E65" s="66">
        <v>-119616.25699999859</v>
      </c>
      <c r="F65" s="66">
        <f t="shared" si="10"/>
        <v>-289345.09626950143</v>
      </c>
      <c r="G65" s="66" t="s">
        <v>342</v>
      </c>
    </row>
    <row r="66" spans="1:10" x14ac:dyDescent="0.2">
      <c r="A66" s="165">
        <f t="shared" si="1"/>
        <v>56</v>
      </c>
      <c r="B66" s="165" t="str">
        <v>8.7</v>
      </c>
      <c r="C66" s="68" t="str">
        <v>Customer Service Deposits</v>
      </c>
      <c r="D66" s="66">
        <v>-47731.484000000004</v>
      </c>
      <c r="E66" s="66">
        <v>-2829106.1541666668</v>
      </c>
      <c r="F66" s="66">
        <f t="shared" si="10"/>
        <v>-225669.82280453044</v>
      </c>
      <c r="G66" s="66" t="s">
        <v>342</v>
      </c>
    </row>
    <row r="67" spans="1:10" x14ac:dyDescent="0.2">
      <c r="A67" s="165">
        <f t="shared" si="1"/>
        <v>57</v>
      </c>
      <c r="B67" s="165" t="str">
        <v>8.8</v>
      </c>
      <c r="C67" s="68" t="str">
        <v>Investor Supplied Working Capital</v>
      </c>
      <c r="D67" s="66">
        <v>0</v>
      </c>
      <c r="E67" s="66">
        <v>23459504.952026334</v>
      </c>
      <c r="F67" s="66">
        <f t="shared" si="10"/>
        <v>2396823.1862639068</v>
      </c>
      <c r="G67" s="66" t="s">
        <v>342</v>
      </c>
    </row>
    <row r="68" spans="1:10" x14ac:dyDescent="0.2">
      <c r="A68" s="165">
        <f t="shared" si="1"/>
        <v>58</v>
      </c>
      <c r="B68" s="165" t="str">
        <v>8.9</v>
      </c>
      <c r="C68" s="68" t="str">
        <v>Removal of Bridger SCR</v>
      </c>
      <c r="D68" s="66">
        <v>0</v>
      </c>
      <c r="E68" s="66">
        <v>-41383475.633493833</v>
      </c>
      <c r="F68" s="66">
        <f t="shared" si="10"/>
        <v>-4228088.9613562757</v>
      </c>
      <c r="G68" s="66" t="s">
        <v>342</v>
      </c>
    </row>
    <row r="69" spans="1:10" x14ac:dyDescent="0.2">
      <c r="A69" s="165">
        <f t="shared" si="1"/>
        <v>59</v>
      </c>
      <c r="B69" s="164" t="str">
        <v>8.10</v>
      </c>
      <c r="C69" s="68" t="str">
        <v>End-of-Period Plant Balances</v>
      </c>
      <c r="D69" s="66">
        <v>0</v>
      </c>
      <c r="E69" s="66">
        <v>26891641.18377804</v>
      </c>
      <c r="F69" s="66">
        <f t="shared" si="10"/>
        <v>2747479.5072519747</v>
      </c>
      <c r="G69" s="66" t="s">
        <v>343</v>
      </c>
    </row>
    <row r="70" spans="1:10" x14ac:dyDescent="0.2">
      <c r="A70" s="165">
        <f t="shared" si="1"/>
        <v>60</v>
      </c>
      <c r="B70" s="164" t="str">
        <v>8.11</v>
      </c>
      <c r="C70" s="68" t="str">
        <v>Idaho Asset Exchange</v>
      </c>
      <c r="D70" s="66">
        <v>0</v>
      </c>
      <c r="E70" s="66">
        <v>6343966.0640676692</v>
      </c>
      <c r="F70" s="66">
        <f t="shared" si="10"/>
        <v>648153.70086977852</v>
      </c>
      <c r="G70" s="66" t="s">
        <v>343</v>
      </c>
    </row>
    <row r="71" spans="1:10" s="67" customFormat="1" x14ac:dyDescent="0.2">
      <c r="A71" s="165">
        <f t="shared" si="1"/>
        <v>61</v>
      </c>
      <c r="B71" s="164" t="str">
        <v>8.12</v>
      </c>
      <c r="C71" s="68" t="str">
        <v>Repowering Project Capital Additions</v>
      </c>
      <c r="D71" s="66">
        <v>207428.12541090255</v>
      </c>
      <c r="E71" s="66">
        <v>86363975.252362356</v>
      </c>
      <c r="F71" s="66">
        <f t="shared" si="10"/>
        <v>8548266.4887767155</v>
      </c>
      <c r="G71" s="66" t="s">
        <v>344</v>
      </c>
      <c r="H71" s="68"/>
      <c r="I71" s="68"/>
      <c r="J71" s="68"/>
    </row>
    <row r="72" spans="1:10" x14ac:dyDescent="0.2">
      <c r="A72" s="165">
        <f t="shared" si="1"/>
        <v>62</v>
      </c>
      <c r="B72" s="164" t="str">
        <v>8.13</v>
      </c>
      <c r="C72" s="68" t="str">
        <v>New Wind Generation and Associated Transmission Capital Additions</v>
      </c>
      <c r="D72" s="169">
        <v>-2412364.1983237248</v>
      </c>
      <c r="E72" s="169">
        <v>182406898.66774014</v>
      </c>
      <c r="F72" s="169">
        <f t="shared" si="10"/>
        <v>21839277.95339001</v>
      </c>
      <c r="G72" s="66" t="s">
        <v>344</v>
      </c>
    </row>
    <row r="73" spans="1:10" x14ac:dyDescent="0.2">
      <c r="A73" s="165">
        <f t="shared" si="1"/>
        <v>63</v>
      </c>
      <c r="B73" s="164" t="str">
        <v>8.14</v>
      </c>
      <c r="C73" s="68" t="str">
        <v>Other Plant Closure Costs</v>
      </c>
      <c r="D73" s="69">
        <v>-9816674.0039235298</v>
      </c>
      <c r="E73" s="69">
        <v>-4908337.0019617639</v>
      </c>
      <c r="F73" s="69">
        <f t="shared" ref="F73" si="11">-(D73-(E73*Overall_ROR))/gross_up_factor</f>
        <v>12532677.633113012</v>
      </c>
      <c r="G73" s="66" t="s">
        <v>344</v>
      </c>
    </row>
    <row r="74" spans="1:10" x14ac:dyDescent="0.2">
      <c r="A74" s="165">
        <f t="shared" si="1"/>
        <v>64</v>
      </c>
      <c r="B74" s="164"/>
      <c r="C74" s="166" t="s">
        <v>211</v>
      </c>
      <c r="D74" s="167">
        <f>SUM(D60:D73)</f>
        <v>1369792.2044570167</v>
      </c>
      <c r="E74" s="167">
        <f>SUM(E60:E73)</f>
        <v>321044591.529993</v>
      </c>
      <c r="F74" s="167">
        <f>SUM(F60:F73)</f>
        <v>30981903.823738884</v>
      </c>
      <c r="G74" s="243"/>
      <c r="H74" s="192">
        <f>SUM('Total Adj'!AP71:BC71)-F74</f>
        <v>0</v>
      </c>
      <c r="I74" s="68" t="s">
        <v>241</v>
      </c>
    </row>
    <row r="75" spans="1:10" x14ac:dyDescent="0.2">
      <c r="A75" s="165">
        <f t="shared" si="1"/>
        <v>65</v>
      </c>
      <c r="B75" s="164"/>
      <c r="C75" s="166"/>
      <c r="D75" s="167"/>
      <c r="E75" s="167"/>
      <c r="F75" s="167"/>
      <c r="G75" s="243"/>
      <c r="H75" s="192"/>
    </row>
    <row r="76" spans="1:10" x14ac:dyDescent="0.2">
      <c r="A76" s="165">
        <f t="shared" si="1"/>
        <v>66</v>
      </c>
      <c r="B76" s="193" t="str">
        <f t="array" ref="B76:B79">TRANSPOSE('Total Adj'!BD8:BG8)</f>
        <v>9.1</v>
      </c>
      <c r="C76" s="68" t="str">
        <f t="array" ref="C76:C79">TRANSPOSE('Total Adj'!BD9:BG9)</f>
        <v>Production Factor</v>
      </c>
      <c r="D76" s="169">
        <f t="array" ref="D76:D79">TRANSPOSE('Total Adj'!BD40:BG40)</f>
        <v>1847944.1649138411</v>
      </c>
      <c r="E76" s="169">
        <f t="array" ref="E76:E79">TRANSPOSE('Total Adj'!BD67:BG67)</f>
        <v>-4261950.6440678341</v>
      </c>
      <c r="F76" s="169">
        <f t="shared" ref="F76:F79" si="12">-(D76-(E76*Overall_ROR))/gross_up_factor</f>
        <v>-2889057.5892215641</v>
      </c>
      <c r="G76" s="66" t="s">
        <v>345</v>
      </c>
      <c r="H76" s="192"/>
    </row>
    <row r="77" spans="1:10" x14ac:dyDescent="0.2">
      <c r="A77" s="165">
        <f t="shared" ref="A77:A88" si="13">A76+1</f>
        <v>67</v>
      </c>
      <c r="B77" s="193" t="str">
        <v>9.2</v>
      </c>
      <c r="C77" s="68" t="str">
        <v>System Non-Emitting Resources Adjustment</v>
      </c>
      <c r="D77" s="169">
        <v>4129653.7761807274</v>
      </c>
      <c r="E77" s="169">
        <v>-56434564.101593889</v>
      </c>
      <c r="F77" s="169">
        <f t="shared" si="12"/>
        <v>-11249012.274606543</v>
      </c>
      <c r="G77" s="66" t="s">
        <v>345</v>
      </c>
      <c r="H77" s="192"/>
    </row>
    <row r="78" spans="1:10" x14ac:dyDescent="0.2">
      <c r="A78" s="165">
        <f t="shared" si="13"/>
        <v>68</v>
      </c>
      <c r="B78" s="193" t="str">
        <v>9.3</v>
      </c>
      <c r="C78" s="68" t="str">
        <v>System Transmission - New Adjustment</v>
      </c>
      <c r="D78" s="169">
        <v>-128220.47159986952</v>
      </c>
      <c r="E78" s="169">
        <v>1427866.196623839</v>
      </c>
      <c r="F78" s="169">
        <f t="shared" si="12"/>
        <v>316128.59072814963</v>
      </c>
      <c r="G78" s="66" t="s">
        <v>345</v>
      </c>
      <c r="H78" s="192"/>
    </row>
    <row r="79" spans="1:10" x14ac:dyDescent="0.2">
      <c r="A79" s="165">
        <f t="shared" si="13"/>
        <v>69</v>
      </c>
      <c r="B79" s="193" t="str">
        <v>9.4</v>
      </c>
      <c r="C79" s="68" t="str">
        <v>System Transmission - Existing Adjustment</v>
      </c>
      <c r="D79" s="69">
        <v>182146.86661090842</v>
      </c>
      <c r="E79" s="69">
        <v>31529447.076732036</v>
      </c>
      <c r="F79" s="69">
        <f t="shared" si="12"/>
        <v>2979470.5952629568</v>
      </c>
      <c r="G79" s="66" t="s">
        <v>345</v>
      </c>
      <c r="H79" s="192"/>
    </row>
    <row r="80" spans="1:10" x14ac:dyDescent="0.2">
      <c r="A80" s="165">
        <f t="shared" si="13"/>
        <v>70</v>
      </c>
      <c r="C80" s="166" t="s">
        <v>324</v>
      </c>
      <c r="D80" s="167">
        <f t="shared" ref="D80:E80" si="14">SUM(D76:D79)</f>
        <v>6031524.3361056075</v>
      </c>
      <c r="E80" s="167">
        <f t="shared" si="14"/>
        <v>-27739201.472305845</v>
      </c>
      <c r="F80" s="167">
        <f>SUM(F76:F79)</f>
        <v>-10842470.677837003</v>
      </c>
      <c r="G80" s="66"/>
      <c r="H80" s="192">
        <f>F80-SUM('Total Adj'!BD71:BG71)</f>
        <v>0</v>
      </c>
      <c r="I80" s="68" t="s">
        <v>241</v>
      </c>
    </row>
    <row r="81" spans="1:9" x14ac:dyDescent="0.2">
      <c r="A81" s="165">
        <f t="shared" si="13"/>
        <v>71</v>
      </c>
      <c r="D81" s="66"/>
      <c r="E81" s="66"/>
      <c r="F81" s="66"/>
      <c r="G81" s="243"/>
    </row>
    <row r="82" spans="1:9" x14ac:dyDescent="0.2">
      <c r="A82" s="165">
        <f t="shared" si="13"/>
        <v>72</v>
      </c>
      <c r="C82" s="171" t="s">
        <v>220</v>
      </c>
      <c r="D82" s="170">
        <f>D15+D30+D37+D44+D58+D74+D80</f>
        <v>-10119413.636036584</v>
      </c>
      <c r="E82" s="170">
        <f>E15+E30+E37+E44+E58+E74+E80</f>
        <v>237274573.58029804</v>
      </c>
      <c r="F82" s="170">
        <f>F15+F30+F37+F44+F58+F74+F80</f>
        <v>37678114.714260489</v>
      </c>
      <c r="G82" s="243"/>
      <c r="H82" s="192">
        <f>'Total Adj'!B71-F82</f>
        <v>0</v>
      </c>
      <c r="I82" s="68" t="s">
        <v>241</v>
      </c>
    </row>
    <row r="83" spans="1:9" x14ac:dyDescent="0.2">
      <c r="A83" s="165">
        <f t="shared" si="13"/>
        <v>73</v>
      </c>
      <c r="B83" s="67"/>
      <c r="C83" s="171"/>
      <c r="D83" s="170"/>
      <c r="E83" s="170"/>
      <c r="F83" s="170"/>
      <c r="G83" s="243"/>
    </row>
    <row r="84" spans="1:9" x14ac:dyDescent="0.2">
      <c r="A84" s="165">
        <f t="shared" si="13"/>
        <v>74</v>
      </c>
      <c r="C84" s="181" t="s">
        <v>186</v>
      </c>
      <c r="D84" s="181">
        <f>D8+D82</f>
        <v>55743384.660114996</v>
      </c>
      <c r="E84" s="181">
        <f>E8+E82</f>
        <v>1015974207.9251543</v>
      </c>
      <c r="F84" s="181">
        <f>F8+F82</f>
        <v>29786938.014177263</v>
      </c>
      <c r="G84" s="65" t="s">
        <v>329</v>
      </c>
      <c r="H84" s="67"/>
      <c r="I84" s="67"/>
    </row>
    <row r="85" spans="1:9" x14ac:dyDescent="0.2">
      <c r="A85" s="165">
        <f t="shared" si="13"/>
        <v>75</v>
      </c>
      <c r="C85" s="171"/>
      <c r="D85" s="170"/>
      <c r="E85" s="170"/>
      <c r="F85" s="170"/>
      <c r="G85" s="243"/>
    </row>
    <row r="86" spans="1:9" x14ac:dyDescent="0.2">
      <c r="A86" s="165">
        <f t="shared" si="13"/>
        <v>76</v>
      </c>
      <c r="B86" s="174" t="s">
        <v>176</v>
      </c>
      <c r="C86" s="171"/>
      <c r="D86" s="170"/>
      <c r="E86" s="170"/>
      <c r="F86" s="170"/>
      <c r="G86" s="243"/>
    </row>
    <row r="87" spans="1:9" x14ac:dyDescent="0.2">
      <c r="A87" s="165">
        <f t="shared" si="13"/>
        <v>77</v>
      </c>
      <c r="B87" s="174" t="s">
        <v>322</v>
      </c>
    </row>
    <row r="88" spans="1:9" x14ac:dyDescent="0.2">
      <c r="A88" s="165">
        <f t="shared" si="13"/>
        <v>78</v>
      </c>
      <c r="B88" s="174" t="s">
        <v>346</v>
      </c>
    </row>
    <row r="89" spans="1:9" x14ac:dyDescent="0.2">
      <c r="A89" s="165"/>
    </row>
    <row r="90" spans="1:9" x14ac:dyDescent="0.2">
      <c r="A90" s="165"/>
    </row>
    <row r="91" spans="1:9" x14ac:dyDescent="0.2">
      <c r="A91" s="165"/>
    </row>
    <row r="92" spans="1:9" x14ac:dyDescent="0.2">
      <c r="A92" s="165"/>
    </row>
    <row r="93" spans="1:9" x14ac:dyDescent="0.2">
      <c r="A93" s="165"/>
    </row>
    <row r="94" spans="1:9" x14ac:dyDescent="0.2">
      <c r="A94" s="165"/>
    </row>
    <row r="95" spans="1:9" x14ac:dyDescent="0.2">
      <c r="A95" s="165"/>
    </row>
    <row r="96" spans="1:9" x14ac:dyDescent="0.2">
      <c r="A96" s="165"/>
    </row>
  </sheetData>
  <mergeCells count="1">
    <mergeCell ref="A3:G4"/>
  </mergeCells>
  <pageMargins left="0.7" right="0.7" top="0.75" bottom="0.75" header="0.3" footer="0.3"/>
  <pageSetup scale="68" orientation="portrait" r:id="rId1"/>
  <headerFooter>
    <oddHeader>&amp;RExhibit No. SEM-7
Page 1 of 3</oddHead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85"/>
  <sheetViews>
    <sheetView view="pageBreakPreview" zoomScale="90" zoomScaleNormal="100" zoomScaleSheetLayoutView="90" workbookViewId="0">
      <selection activeCell="F69" sqref="F69"/>
    </sheetView>
  </sheetViews>
  <sheetFormatPr defaultRowHeight="11.25" x14ac:dyDescent="0.2"/>
  <cols>
    <col min="1" max="1" width="3.42578125" style="104" customWidth="1"/>
    <col min="2" max="2" width="24.28515625" style="104" customWidth="1"/>
    <col min="3" max="3" width="12.28515625" style="104" customWidth="1"/>
    <col min="4" max="4" width="3.28515625" style="104" customWidth="1"/>
    <col min="5" max="7" width="11.85546875" style="104" customWidth="1"/>
    <col min="8" max="8" width="12.85546875" style="104" customWidth="1"/>
    <col min="9" max="11" width="11.85546875" style="104" customWidth="1"/>
    <col min="12" max="12" width="3" style="104" customWidth="1"/>
    <col min="13" max="13" width="11.85546875" style="104" customWidth="1"/>
    <col min="14" max="14" width="3.140625" style="104" customWidth="1"/>
    <col min="15" max="15" width="13.140625" style="104" bestFit="1" customWidth="1"/>
    <col min="16" max="16" width="12.28515625" style="247" bestFit="1" customWidth="1"/>
    <col min="17" max="17" width="11.28515625" style="263" bestFit="1" customWidth="1"/>
    <col min="18" max="16384" width="9.140625" style="104"/>
  </cols>
  <sheetData>
    <row r="1" spans="1:17" ht="12" x14ac:dyDescent="0.2">
      <c r="A1" s="102" t="s">
        <v>42</v>
      </c>
      <c r="B1" s="103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257"/>
    </row>
    <row r="2" spans="1:17" ht="12" x14ac:dyDescent="0.2">
      <c r="A2" s="286" t="s">
        <v>189</v>
      </c>
      <c r="B2" s="287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258"/>
    </row>
    <row r="3" spans="1:17" ht="12" customHeight="1" x14ac:dyDescent="0.2">
      <c r="A3" s="288" t="s">
        <v>270</v>
      </c>
      <c r="B3" s="288"/>
      <c r="C3" s="288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7" ht="12" x14ac:dyDescent="0.2">
      <c r="A4" s="106" t="s">
        <v>321</v>
      </c>
      <c r="B4" s="103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7" ht="12.75" x14ac:dyDescent="0.2">
      <c r="A5" s="107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17" x14ac:dyDescent="0.2">
      <c r="A6" s="108"/>
      <c r="C6" s="111"/>
      <c r="D6" s="112"/>
      <c r="E6" s="109" t="s">
        <v>323</v>
      </c>
      <c r="F6" s="110"/>
      <c r="G6" s="110"/>
      <c r="H6" s="110"/>
      <c r="I6" s="110"/>
      <c r="J6" s="110"/>
      <c r="K6" s="110"/>
      <c r="L6" s="232"/>
      <c r="M6" s="110"/>
      <c r="O6" s="236"/>
      <c r="P6" s="248"/>
    </row>
    <row r="7" spans="1:17" x14ac:dyDescent="0.2">
      <c r="C7" s="233"/>
      <c r="D7" s="234"/>
      <c r="E7" s="235"/>
      <c r="F7" s="232"/>
      <c r="G7" s="232"/>
      <c r="H7" s="232"/>
      <c r="I7" s="232"/>
      <c r="J7" s="232"/>
      <c r="K7" s="232"/>
      <c r="M7" s="113" t="s">
        <v>190</v>
      </c>
      <c r="P7" s="249"/>
    </row>
    <row r="8" spans="1:17" x14ac:dyDescent="0.2">
      <c r="C8" s="113"/>
      <c r="D8" s="112"/>
      <c r="E8" s="113" t="s">
        <v>191</v>
      </c>
      <c r="F8" s="113" t="s">
        <v>192</v>
      </c>
      <c r="G8" s="113" t="s">
        <v>193</v>
      </c>
      <c r="H8" s="113" t="s">
        <v>34</v>
      </c>
      <c r="I8" s="113" t="s">
        <v>194</v>
      </c>
      <c r="J8" s="113" t="s">
        <v>195</v>
      </c>
      <c r="K8" s="113" t="s">
        <v>244</v>
      </c>
      <c r="L8" s="112"/>
      <c r="M8" s="113" t="s">
        <v>248</v>
      </c>
    </row>
    <row r="9" spans="1:17" ht="57.75" customHeight="1" x14ac:dyDescent="0.2">
      <c r="C9" s="114" t="s">
        <v>316</v>
      </c>
      <c r="D9" s="115"/>
      <c r="E9" s="114" t="s">
        <v>196</v>
      </c>
      <c r="F9" s="114" t="s">
        <v>197</v>
      </c>
      <c r="G9" s="114" t="s">
        <v>198</v>
      </c>
      <c r="H9" s="114" t="s">
        <v>199</v>
      </c>
      <c r="I9" s="114" t="s">
        <v>200</v>
      </c>
      <c r="J9" s="114" t="s">
        <v>201</v>
      </c>
      <c r="K9" s="114" t="s">
        <v>320</v>
      </c>
      <c r="L9" s="115"/>
      <c r="M9" s="114" t="s">
        <v>202</v>
      </c>
      <c r="O9" s="114" t="s">
        <v>203</v>
      </c>
      <c r="P9" s="250"/>
      <c r="Q9" s="263" t="s">
        <v>315</v>
      </c>
    </row>
    <row r="10" spans="1:17" x14ac:dyDescent="0.2">
      <c r="A10" s="116">
        <v>1</v>
      </c>
      <c r="B10" s="116" t="s">
        <v>45</v>
      </c>
    </row>
    <row r="11" spans="1:17" x14ac:dyDescent="0.2">
      <c r="A11" s="116">
        <v>2</v>
      </c>
      <c r="B11" s="116" t="s">
        <v>46</v>
      </c>
      <c r="C11" s="65">
        <f>Summary!B9</f>
        <v>326549201.78999996</v>
      </c>
      <c r="D11" s="117"/>
      <c r="E11" s="65">
        <f>'Page 1.4'!D6</f>
        <v>22857401.870773375</v>
      </c>
      <c r="F11" s="65">
        <f>'Page 1.4'!E6</f>
        <v>-252203.73</v>
      </c>
      <c r="G11" s="65">
        <f>'Page 1.4'!F6</f>
        <v>0</v>
      </c>
      <c r="H11" s="65">
        <f>'Page 1.4'!G6</f>
        <v>0</v>
      </c>
      <c r="I11" s="65">
        <f>'Page 1.4'!H6</f>
        <v>0</v>
      </c>
      <c r="J11" s="65">
        <f>'Page 1.4'!I6</f>
        <v>17418111.240000013</v>
      </c>
      <c r="K11" s="65">
        <f>'Page 1.4'!J6</f>
        <v>0</v>
      </c>
      <c r="M11" s="65">
        <f>SUM(E11:L11)</f>
        <v>40023309.380773388</v>
      </c>
      <c r="O11" s="118">
        <f>+C11+M11</f>
        <v>366572511.17077333</v>
      </c>
      <c r="P11" s="251"/>
      <c r="Q11" s="264">
        <f>O11-'Check Sheet'!S9</f>
        <v>0</v>
      </c>
    </row>
    <row r="12" spans="1:17" x14ac:dyDescent="0.2">
      <c r="A12" s="116">
        <v>3</v>
      </c>
      <c r="B12" s="116" t="s">
        <v>47</v>
      </c>
      <c r="C12" s="65">
        <f>Summary!B10</f>
        <v>0</v>
      </c>
      <c r="D12" s="117"/>
      <c r="E12" s="65">
        <f>'Page 1.4'!D7</f>
        <v>0</v>
      </c>
      <c r="F12" s="65">
        <f>'Page 1.4'!E7</f>
        <v>0</v>
      </c>
      <c r="G12" s="65">
        <f>'Page 1.4'!F7</f>
        <v>0</v>
      </c>
      <c r="H12" s="65">
        <f>'Page 1.4'!G7</f>
        <v>0</v>
      </c>
      <c r="I12" s="65">
        <f>'Page 1.4'!H7</f>
        <v>0</v>
      </c>
      <c r="J12" s="65">
        <f>'Page 1.4'!I7</f>
        <v>0</v>
      </c>
      <c r="K12" s="65">
        <f>'Page 1.4'!J7</f>
        <v>0</v>
      </c>
      <c r="M12" s="65">
        <f>SUM(E12:L12)</f>
        <v>0</v>
      </c>
      <c r="O12" s="118">
        <f>+C12+M12</f>
        <v>0</v>
      </c>
      <c r="P12" s="251"/>
      <c r="Q12" s="264">
        <f>O12-'Check Sheet'!S10</f>
        <v>0</v>
      </c>
    </row>
    <row r="13" spans="1:17" x14ac:dyDescent="0.2">
      <c r="A13" s="116">
        <v>4</v>
      </c>
      <c r="B13" s="116" t="s">
        <v>48</v>
      </c>
      <c r="C13" s="65">
        <f>Summary!B11</f>
        <v>17019166.449027743</v>
      </c>
      <c r="D13" s="117"/>
      <c r="E13" s="65">
        <f>'Page 1.4'!D8</f>
        <v>0</v>
      </c>
      <c r="F13" s="65">
        <f>'Page 1.4'!E8</f>
        <v>0</v>
      </c>
      <c r="G13" s="65">
        <f>'Page 1.4'!F8</f>
        <v>-14800952.647608532</v>
      </c>
      <c r="H13" s="65">
        <f>'Page 1.4'!G8</f>
        <v>0</v>
      </c>
      <c r="I13" s="65">
        <f>'Page 1.4'!H8</f>
        <v>0</v>
      </c>
      <c r="J13" s="65">
        <f>'Page 1.4'!I8</f>
        <v>0</v>
      </c>
      <c r="K13" s="65">
        <f>'Page 1.4'!J8</f>
        <v>-65386.144309964031</v>
      </c>
      <c r="M13" s="65">
        <f>SUM(E13:L13)</f>
        <v>-14866338.791918496</v>
      </c>
      <c r="O13" s="118">
        <f>+C13+M13</f>
        <v>2152827.6571092475</v>
      </c>
      <c r="P13" s="251"/>
      <c r="Q13" s="264">
        <f>O13-'Check Sheet'!S11</f>
        <v>0</v>
      </c>
    </row>
    <row r="14" spans="1:17" x14ac:dyDescent="0.2">
      <c r="A14" s="116">
        <v>5</v>
      </c>
      <c r="B14" s="116" t="s">
        <v>49</v>
      </c>
      <c r="C14" s="65">
        <f>Summary!B12</f>
        <v>10619467.010369893</v>
      </c>
      <c r="D14" s="117"/>
      <c r="E14" s="65">
        <f>'Page 1.4'!D9</f>
        <v>518643.48845505848</v>
      </c>
      <c r="F14" s="65">
        <f>'Page 1.4'!E9</f>
        <v>-427912.20158807386</v>
      </c>
      <c r="G14" s="65">
        <f>'Page 1.4'!F9</f>
        <v>0</v>
      </c>
      <c r="H14" s="65">
        <f>'Page 1.4'!G9</f>
        <v>0</v>
      </c>
      <c r="I14" s="65">
        <f>'Page 1.4'!H9</f>
        <v>0</v>
      </c>
      <c r="J14" s="65">
        <f>'Page 1.4'!I9</f>
        <v>47809.260000000009</v>
      </c>
      <c r="K14" s="65">
        <f>'Page 1.4'!J9</f>
        <v>1023734.3863624266</v>
      </c>
      <c r="M14" s="65">
        <f>SUM(E14:L14)</f>
        <v>1162274.9332294113</v>
      </c>
      <c r="O14" s="118">
        <f>+C14+M14</f>
        <v>11781741.943599304</v>
      </c>
      <c r="P14" s="251"/>
      <c r="Q14" s="264">
        <f>O14-'Check Sheet'!S12</f>
        <v>0</v>
      </c>
    </row>
    <row r="15" spans="1:17" x14ac:dyDescent="0.2">
      <c r="A15" s="116">
        <v>6</v>
      </c>
      <c r="B15" s="116" t="s">
        <v>50</v>
      </c>
      <c r="C15" s="119">
        <f>SUM(C11:C14)</f>
        <v>354187835.24939758</v>
      </c>
      <c r="D15" s="120"/>
      <c r="E15" s="119">
        <f t="shared" ref="E15:O15" si="0">SUM(E11:E14)</f>
        <v>23376045.359228432</v>
      </c>
      <c r="F15" s="119">
        <f t="shared" si="0"/>
        <v>-680115.93158807384</v>
      </c>
      <c r="G15" s="119">
        <f t="shared" si="0"/>
        <v>-14800952.647608532</v>
      </c>
      <c r="H15" s="119">
        <f t="shared" si="0"/>
        <v>0</v>
      </c>
      <c r="I15" s="119">
        <f t="shared" si="0"/>
        <v>0</v>
      </c>
      <c r="J15" s="119">
        <f t="shared" si="0"/>
        <v>17465920.500000015</v>
      </c>
      <c r="K15" s="119">
        <f t="shared" ref="K15" si="1">SUM(K11:K14)</f>
        <v>958348.24205246253</v>
      </c>
      <c r="M15" s="119">
        <f t="shared" si="0"/>
        <v>26319245.522084307</v>
      </c>
      <c r="O15" s="119">
        <f t="shared" si="0"/>
        <v>380507080.77148187</v>
      </c>
      <c r="P15" s="252"/>
      <c r="Q15" s="264">
        <f>O15-'Check Sheet'!S13</f>
        <v>0</v>
      </c>
    </row>
    <row r="16" spans="1:17" ht="12.75" x14ac:dyDescent="0.2">
      <c r="A16" s="116">
        <v>7</v>
      </c>
      <c r="B16" s="116"/>
      <c r="C16" s="121"/>
      <c r="D16" s="117"/>
      <c r="E16" s="121"/>
      <c r="F16" s="121"/>
      <c r="G16" s="121"/>
      <c r="H16" s="121"/>
      <c r="I16" s="121"/>
      <c r="J16" s="121"/>
      <c r="K16" s="121"/>
      <c r="M16" s="121"/>
      <c r="Q16" s="264"/>
    </row>
    <row r="17" spans="1:17" ht="12.75" x14ac:dyDescent="0.2">
      <c r="A17" s="116">
        <v>8</v>
      </c>
      <c r="B17" s="116" t="s">
        <v>51</v>
      </c>
      <c r="C17" s="121"/>
      <c r="D17" s="117"/>
      <c r="E17" s="121"/>
      <c r="F17" s="121"/>
      <c r="G17" s="121"/>
      <c r="H17" s="121"/>
      <c r="I17" s="121"/>
      <c r="J17" s="121"/>
      <c r="K17" s="121"/>
      <c r="M17" s="121"/>
      <c r="Q17" s="264"/>
    </row>
    <row r="18" spans="1:17" x14ac:dyDescent="0.2">
      <c r="A18" s="116">
        <v>9</v>
      </c>
      <c r="B18" s="116" t="s">
        <v>52</v>
      </c>
      <c r="C18" s="65">
        <f>Summary!B16</f>
        <v>70560214.284559131</v>
      </c>
      <c r="D18" s="117"/>
      <c r="E18" s="65">
        <f>'Page 1.4'!D13</f>
        <v>0</v>
      </c>
      <c r="F18" s="65">
        <f>'Page 1.4'!E13</f>
        <v>252912.35782985672</v>
      </c>
      <c r="G18" s="65">
        <f>'Page 1.4'!F13</f>
        <v>-5348848.3575730259</v>
      </c>
      <c r="H18" s="65">
        <f>'Page 1.4'!G13</f>
        <v>51760.195371981739</v>
      </c>
      <c r="I18" s="65">
        <f>'Page 1.4'!H13</f>
        <v>0</v>
      </c>
      <c r="J18" s="65">
        <f>'Page 1.4'!I13</f>
        <v>8498026.3756711129</v>
      </c>
      <c r="K18" s="65">
        <f>'Page 1.4'!J13</f>
        <v>-529290.74321827292</v>
      </c>
      <c r="M18" s="65">
        <f t="shared" ref="M18:M27" si="2">SUM(E18:L18)</f>
        <v>2924559.8280816525</v>
      </c>
      <c r="O18" s="118">
        <f t="shared" ref="O18:O27" si="3">+C18+M18</f>
        <v>73484774.112640783</v>
      </c>
      <c r="P18" s="251"/>
      <c r="Q18" s="264">
        <f>O18-'Check Sheet'!S16</f>
        <v>0</v>
      </c>
    </row>
    <row r="19" spans="1:17" x14ac:dyDescent="0.2">
      <c r="A19" s="116">
        <v>10</v>
      </c>
      <c r="B19" s="116" t="s">
        <v>53</v>
      </c>
      <c r="C19" s="65">
        <f>Summary!B17</f>
        <v>0</v>
      </c>
      <c r="D19" s="117"/>
      <c r="E19" s="65">
        <f>'Page 1.4'!D14</f>
        <v>0</v>
      </c>
      <c r="F19" s="65">
        <f>'Page 1.4'!E14</f>
        <v>0</v>
      </c>
      <c r="G19" s="65">
        <f>'Page 1.4'!F14</f>
        <v>0</v>
      </c>
      <c r="H19" s="65">
        <f>'Page 1.4'!G14</f>
        <v>0</v>
      </c>
      <c r="I19" s="65">
        <f>'Page 1.4'!H14</f>
        <v>0</v>
      </c>
      <c r="J19" s="65">
        <f>'Page 1.4'!I14</f>
        <v>0</v>
      </c>
      <c r="K19" s="65">
        <f>'Page 1.4'!J14</f>
        <v>0</v>
      </c>
      <c r="M19" s="65">
        <f t="shared" si="2"/>
        <v>0</v>
      </c>
      <c r="O19" s="118">
        <f t="shared" si="3"/>
        <v>0</v>
      </c>
      <c r="P19" s="251"/>
      <c r="Q19" s="264">
        <f>O19-'Check Sheet'!S17</f>
        <v>0</v>
      </c>
    </row>
    <row r="20" spans="1:17" x14ac:dyDescent="0.2">
      <c r="A20" s="122">
        <v>11</v>
      </c>
      <c r="B20" s="116" t="s">
        <v>54</v>
      </c>
      <c r="C20" s="65">
        <f>Summary!B18</f>
        <v>6841672.160289838</v>
      </c>
      <c r="D20" s="117"/>
      <c r="E20" s="65">
        <f>'Page 1.4'!D15</f>
        <v>0</v>
      </c>
      <c r="F20" s="65">
        <f>'Page 1.4'!E15</f>
        <v>162287.63932202672</v>
      </c>
      <c r="G20" s="65">
        <f>'Page 1.4'!F15</f>
        <v>0</v>
      </c>
      <c r="H20" s="65">
        <f>'Page 1.4'!G15</f>
        <v>17854.508316736094</v>
      </c>
      <c r="I20" s="65">
        <f>'Page 1.4'!H15</f>
        <v>0</v>
      </c>
      <c r="J20" s="65">
        <f>'Page 1.4'!I15</f>
        <v>0</v>
      </c>
      <c r="K20" s="65">
        <f>'Page 1.4'!J15</f>
        <v>-3614806.387901755</v>
      </c>
      <c r="M20" s="65">
        <f t="shared" si="2"/>
        <v>-3434664.2402629922</v>
      </c>
      <c r="O20" s="118">
        <f t="shared" si="3"/>
        <v>3407007.9200268458</v>
      </c>
      <c r="P20" s="251"/>
      <c r="Q20" s="264">
        <f>O20-'Check Sheet'!S18</f>
        <v>0</v>
      </c>
    </row>
    <row r="21" spans="1:17" x14ac:dyDescent="0.2">
      <c r="A21" s="116">
        <v>12</v>
      </c>
      <c r="B21" s="116" t="s">
        <v>55</v>
      </c>
      <c r="C21" s="65">
        <f>Summary!B19</f>
        <v>63424679.078787863</v>
      </c>
      <c r="D21" s="117"/>
      <c r="E21" s="65">
        <f>'Page 1.4'!D16</f>
        <v>0</v>
      </c>
      <c r="F21" s="65">
        <f>'Page 1.4'!E16</f>
        <v>294554.31401885068</v>
      </c>
      <c r="G21" s="65">
        <f>'Page 1.4'!F16</f>
        <v>-2708426.5477515389</v>
      </c>
      <c r="H21" s="65">
        <f>'Page 1.4'!G16</f>
        <v>15623.621030583408</v>
      </c>
      <c r="I21" s="65">
        <f>'Page 1.4'!H16</f>
        <v>0</v>
      </c>
      <c r="J21" s="65">
        <f>'Page 1.4'!I16</f>
        <v>1657310.668266339</v>
      </c>
      <c r="K21" s="65">
        <f>'Page 1.4'!J16</f>
        <v>-1043463.1553988494</v>
      </c>
      <c r="M21" s="65">
        <f t="shared" si="2"/>
        <v>-1784401.0998346151</v>
      </c>
      <c r="O21" s="118">
        <f t="shared" si="3"/>
        <v>61640277.97895325</v>
      </c>
      <c r="P21" s="251"/>
      <c r="Q21" s="264">
        <f>O21-'Check Sheet'!S19</f>
        <v>0</v>
      </c>
    </row>
    <row r="22" spans="1:17" x14ac:dyDescent="0.2">
      <c r="A22" s="116">
        <v>13</v>
      </c>
      <c r="B22" s="116" t="s">
        <v>56</v>
      </c>
      <c r="C22" s="65">
        <f>Summary!B20</f>
        <v>32375787.706417251</v>
      </c>
      <c r="D22" s="117"/>
      <c r="E22" s="65">
        <f>'Page 1.4'!D17</f>
        <v>0</v>
      </c>
      <c r="F22" s="65">
        <f>'Page 1.4'!E17</f>
        <v>-211865.07845120516</v>
      </c>
      <c r="G22" s="65">
        <f>'Page 1.4'!F17</f>
        <v>-16017299.646470467</v>
      </c>
      <c r="H22" s="65">
        <f>'Page 1.4'!G17</f>
        <v>9961.9123770073802</v>
      </c>
      <c r="I22" s="65">
        <f>'Page 1.4'!H17</f>
        <v>0</v>
      </c>
      <c r="J22" s="65">
        <f>'Page 1.4'!I17</f>
        <v>0</v>
      </c>
      <c r="K22" s="65">
        <f>'Page 1.4'!J17</f>
        <v>-156525.32208448392</v>
      </c>
      <c r="M22" s="65">
        <f t="shared" si="2"/>
        <v>-16375728.134629149</v>
      </c>
      <c r="O22" s="118">
        <f t="shared" si="3"/>
        <v>16000059.571788102</v>
      </c>
      <c r="P22" s="251"/>
      <c r="Q22" s="264">
        <f>O22-'Check Sheet'!S20</f>
        <v>0</v>
      </c>
    </row>
    <row r="23" spans="1:17" x14ac:dyDescent="0.2">
      <c r="A23" s="116">
        <v>14</v>
      </c>
      <c r="B23" s="116" t="s">
        <v>57</v>
      </c>
      <c r="C23" s="65">
        <f>Summary!B21</f>
        <v>11761768.183577189</v>
      </c>
      <c r="D23" s="117"/>
      <c r="E23" s="65">
        <f>'Page 1.4'!D18</f>
        <v>0</v>
      </c>
      <c r="F23" s="65">
        <f>'Page 1.4'!E18</f>
        <v>579266.54530209105</v>
      </c>
      <c r="G23" s="65">
        <f>'Page 1.4'!F18</f>
        <v>0</v>
      </c>
      <c r="H23" s="65">
        <f>'Page 1.4'!G18</f>
        <v>33905.455499260992</v>
      </c>
      <c r="I23" s="65">
        <f>'Page 1.4'!H18</f>
        <v>0</v>
      </c>
      <c r="J23" s="65">
        <f>'Page 1.4'!I18</f>
        <v>0</v>
      </c>
      <c r="K23" s="65">
        <f>'Page 1.4'!J18</f>
        <v>0</v>
      </c>
      <c r="M23" s="65">
        <f t="shared" si="2"/>
        <v>613172.00080135209</v>
      </c>
      <c r="O23" s="118">
        <f t="shared" si="3"/>
        <v>12374940.184378542</v>
      </c>
      <c r="P23" s="251"/>
      <c r="Q23" s="264">
        <f>O23-'Check Sheet'!S21</f>
        <v>0</v>
      </c>
    </row>
    <row r="24" spans="1:17" x14ac:dyDescent="0.2">
      <c r="A24" s="116">
        <v>15</v>
      </c>
      <c r="B24" s="116" t="s">
        <v>58</v>
      </c>
      <c r="C24" s="65">
        <f>Summary!B22</f>
        <v>5981921.510807883</v>
      </c>
      <c r="D24" s="117"/>
      <c r="E24" s="65">
        <f>'Page 1.4'!D19</f>
        <v>0</v>
      </c>
      <c r="F24" s="65">
        <f>'Page 1.4'!E19</f>
        <v>1108766.9445375141</v>
      </c>
      <c r="G24" s="65">
        <f>'Page 1.4'!F19</f>
        <v>0</v>
      </c>
      <c r="H24" s="65">
        <f>'Page 1.4'!G19</f>
        <v>12321.352910648453</v>
      </c>
      <c r="I24" s="65">
        <f>'Page 1.4'!H19</f>
        <v>0</v>
      </c>
      <c r="J24" s="65">
        <f>'Page 1.4'!I19</f>
        <v>0</v>
      </c>
      <c r="K24" s="65">
        <f>'Page 1.4'!J19</f>
        <v>0</v>
      </c>
      <c r="M24" s="65">
        <f t="shared" si="2"/>
        <v>1121088.2974481627</v>
      </c>
      <c r="O24" s="118">
        <f t="shared" si="3"/>
        <v>7103009.8082560459</v>
      </c>
      <c r="P24" s="251"/>
      <c r="Q24" s="264">
        <f>O24-'Check Sheet'!S22</f>
        <v>0</v>
      </c>
    </row>
    <row r="25" spans="1:17" x14ac:dyDescent="0.2">
      <c r="A25" s="116">
        <v>16</v>
      </c>
      <c r="B25" s="116" t="s">
        <v>59</v>
      </c>
      <c r="C25" s="65">
        <f>Summary!B23</f>
        <v>1003434.513881115</v>
      </c>
      <c r="D25" s="117"/>
      <c r="E25" s="65">
        <f>'Page 1.4'!D20</f>
        <v>0</v>
      </c>
      <c r="F25" s="65">
        <f>'Page 1.4'!E20</f>
        <v>31872.059269140238</v>
      </c>
      <c r="G25" s="65">
        <f>'Page 1.4'!F20</f>
        <v>0</v>
      </c>
      <c r="H25" s="65">
        <f>'Page 1.4'!G20</f>
        <v>2407.286320388333</v>
      </c>
      <c r="I25" s="65">
        <f>'Page 1.4'!H20</f>
        <v>0</v>
      </c>
      <c r="J25" s="65">
        <f>'Page 1.4'!I20</f>
        <v>0</v>
      </c>
      <c r="K25" s="65">
        <f>'Page 1.4'!J20</f>
        <v>0</v>
      </c>
      <c r="M25" s="65">
        <f t="shared" si="2"/>
        <v>34279.345589528573</v>
      </c>
      <c r="O25" s="118">
        <f t="shared" si="3"/>
        <v>1037713.8594706436</v>
      </c>
      <c r="P25" s="251"/>
      <c r="Q25" s="264">
        <f>O25-'Check Sheet'!S23</f>
        <v>0</v>
      </c>
    </row>
    <row r="26" spans="1:17" x14ac:dyDescent="0.2">
      <c r="A26" s="116">
        <v>17</v>
      </c>
      <c r="B26" s="116" t="s">
        <v>60</v>
      </c>
      <c r="C26" s="65">
        <f>Summary!B24</f>
        <v>0</v>
      </c>
      <c r="D26" s="117"/>
      <c r="E26" s="65">
        <f>'Page 1.4'!D21</f>
        <v>0</v>
      </c>
      <c r="F26" s="65">
        <f>'Page 1.4'!E21</f>
        <v>0</v>
      </c>
      <c r="G26" s="65">
        <f>'Page 1.4'!F21</f>
        <v>0</v>
      </c>
      <c r="H26" s="65">
        <f>'Page 1.4'!G21</f>
        <v>0</v>
      </c>
      <c r="I26" s="65">
        <f>'Page 1.4'!H21</f>
        <v>0</v>
      </c>
      <c r="J26" s="65">
        <f>'Page 1.4'!I21</f>
        <v>0</v>
      </c>
      <c r="K26" s="65">
        <f>'Page 1.4'!J21</f>
        <v>0</v>
      </c>
      <c r="M26" s="65">
        <f t="shared" si="2"/>
        <v>0</v>
      </c>
      <c r="O26" s="118">
        <f t="shared" si="3"/>
        <v>0</v>
      </c>
      <c r="P26" s="251"/>
      <c r="Q26" s="264">
        <f>O26-'Check Sheet'!S24</f>
        <v>0</v>
      </c>
    </row>
    <row r="27" spans="1:17" x14ac:dyDescent="0.2">
      <c r="A27" s="116">
        <v>18</v>
      </c>
      <c r="B27" s="116" t="s">
        <v>61</v>
      </c>
      <c r="C27" s="65">
        <f>Summary!B25</f>
        <v>9015079.8499425296</v>
      </c>
      <c r="D27" s="117"/>
      <c r="E27" s="65">
        <f>'Page 1.4'!D22</f>
        <v>0</v>
      </c>
      <c r="F27" s="65">
        <f>'Page 1.4'!E22</f>
        <v>364522.55815997685</v>
      </c>
      <c r="G27" s="65">
        <f>'Page 1.4'!F22</f>
        <v>-4014.8687836292347</v>
      </c>
      <c r="H27" s="65">
        <f>'Page 1.4'!G22</f>
        <v>14076.147500311941</v>
      </c>
      <c r="I27" s="65">
        <f>'Page 1.4'!H22</f>
        <v>0</v>
      </c>
      <c r="J27" s="65">
        <f>'Page 1.4'!I22</f>
        <v>0</v>
      </c>
      <c r="K27" s="65">
        <f>'Page 1.4'!J22</f>
        <v>0</v>
      </c>
      <c r="M27" s="123">
        <f t="shared" si="2"/>
        <v>374583.8368766596</v>
      </c>
      <c r="O27" s="118">
        <f t="shared" si="3"/>
        <v>9389663.6868191883</v>
      </c>
      <c r="P27" s="251"/>
      <c r="Q27" s="264">
        <f>O27-'Check Sheet'!S25</f>
        <v>0</v>
      </c>
    </row>
    <row r="28" spans="1:17" x14ac:dyDescent="0.2">
      <c r="A28" s="116">
        <v>19</v>
      </c>
      <c r="B28" s="116" t="s">
        <v>62</v>
      </c>
      <c r="C28" s="144">
        <f>SUM(C18:C27)</f>
        <v>200964557.28826278</v>
      </c>
      <c r="D28" s="120"/>
      <c r="E28" s="144">
        <f t="shared" ref="E28:J28" si="4">SUM(E18:E27)</f>
        <v>0</v>
      </c>
      <c r="F28" s="144">
        <f t="shared" si="4"/>
        <v>2582317.3399882512</v>
      </c>
      <c r="G28" s="144">
        <f t="shared" si="4"/>
        <v>-24078589.420578662</v>
      </c>
      <c r="H28" s="144">
        <f t="shared" si="4"/>
        <v>157910.47932691837</v>
      </c>
      <c r="I28" s="144">
        <f t="shared" si="4"/>
        <v>0</v>
      </c>
      <c r="J28" s="144">
        <f t="shared" si="4"/>
        <v>10155337.043937452</v>
      </c>
      <c r="K28" s="144">
        <f t="shared" ref="K28" si="5">SUM(K18:K27)</f>
        <v>-5344085.6086033611</v>
      </c>
      <c r="M28" s="118">
        <f>SUM(M18:M27)</f>
        <v>-16527110.165929401</v>
      </c>
      <c r="O28" s="144">
        <f>SUM(O18:O27)</f>
        <v>184437447.12233341</v>
      </c>
      <c r="P28" s="253"/>
      <c r="Q28" s="264">
        <f>O28-'Check Sheet'!S26</f>
        <v>0</v>
      </c>
    </row>
    <row r="29" spans="1:17" x14ac:dyDescent="0.2">
      <c r="A29" s="116">
        <v>20</v>
      </c>
      <c r="B29" s="116" t="s">
        <v>63</v>
      </c>
      <c r="C29" s="65">
        <f>Summary!B27</f>
        <v>48982077.056560166</v>
      </c>
      <c r="D29" s="117"/>
      <c r="E29" s="65">
        <f>'Page 1.4'!D24</f>
        <v>0</v>
      </c>
      <c r="F29" s="65">
        <f>'Page 1.4'!E24</f>
        <v>-485148.8497193756</v>
      </c>
      <c r="G29" s="65">
        <f>'Page 1.4'!F24</f>
        <v>0</v>
      </c>
      <c r="H29" s="65">
        <f>'Page 1.4'!G24</f>
        <v>77715142.588273495</v>
      </c>
      <c r="I29" s="65">
        <f>'Page 1.4'!H24</f>
        <v>0</v>
      </c>
      <c r="J29" s="65">
        <f>'Page 1.4'!I24</f>
        <v>-378804.47238388716</v>
      </c>
      <c r="K29" s="65">
        <f>'Page 1.4'!J24</f>
        <v>-864713.90878106561</v>
      </c>
      <c r="M29" s="65">
        <f t="shared" ref="M29:M36" si="6">SUM(E29:L29)</f>
        <v>75986475.357389167</v>
      </c>
      <c r="O29" s="118">
        <f t="shared" ref="O29:O36" si="7">+C29+M29</f>
        <v>124968552.41394934</v>
      </c>
      <c r="P29" s="251"/>
      <c r="Q29" s="264">
        <f>O29-'Check Sheet'!S27</f>
        <v>0</v>
      </c>
    </row>
    <row r="30" spans="1:17" x14ac:dyDescent="0.2">
      <c r="A30" s="116">
        <v>21</v>
      </c>
      <c r="B30" s="116" t="s">
        <v>64</v>
      </c>
      <c r="C30" s="65">
        <f>Summary!B28</f>
        <v>5113848.0447265487</v>
      </c>
      <c r="D30" s="117"/>
      <c r="E30" s="65">
        <f>'Page 1.4'!D25</f>
        <v>0</v>
      </c>
      <c r="F30" s="65">
        <f>'Page 1.4'!E25</f>
        <v>0</v>
      </c>
      <c r="G30" s="65">
        <f>'Page 1.4'!F25</f>
        <v>737.58465057384717</v>
      </c>
      <c r="H30" s="65">
        <f>'Page 1.4'!G25</f>
        <v>-1870637.0501716251</v>
      </c>
      <c r="I30" s="65">
        <f>'Page 1.4'!H25</f>
        <v>0</v>
      </c>
      <c r="J30" s="65">
        <f>'Page 1.4'!I25</f>
        <v>5092170.2009536093</v>
      </c>
      <c r="K30" s="65">
        <f>'Page 1.4'!J25</f>
        <v>-382836.84431530652</v>
      </c>
      <c r="M30" s="65">
        <f t="shared" si="6"/>
        <v>2839433.8911172515</v>
      </c>
      <c r="O30" s="118">
        <f t="shared" si="7"/>
        <v>7953281.9358438002</v>
      </c>
      <c r="P30" s="251"/>
      <c r="Q30" s="264">
        <f>O30-'Check Sheet'!S28</f>
        <v>0</v>
      </c>
    </row>
    <row r="31" spans="1:17" x14ac:dyDescent="0.2">
      <c r="A31" s="116">
        <v>22</v>
      </c>
      <c r="B31" s="116" t="s">
        <v>65</v>
      </c>
      <c r="C31" s="65">
        <f>Summary!B29</f>
        <v>22603339.188917331</v>
      </c>
      <c r="D31" s="117"/>
      <c r="E31" s="65">
        <f>'Page 1.4'!D26</f>
        <v>0</v>
      </c>
      <c r="F31" s="65">
        <f>'Page 1.4'!E26</f>
        <v>0</v>
      </c>
      <c r="G31" s="65">
        <f>'Page 1.4'!F26</f>
        <v>-37468.940999178878</v>
      </c>
      <c r="H31" s="65">
        <f>'Page 1.4'!G26</f>
        <v>0</v>
      </c>
      <c r="I31" s="65">
        <f>'Page 1.4'!H26</f>
        <v>2068677.6036546729</v>
      </c>
      <c r="J31" s="65">
        <f>'Page 1.4'!I26</f>
        <v>0</v>
      </c>
      <c r="K31" s="65">
        <f>'Page 1.4'!J26</f>
        <v>0</v>
      </c>
      <c r="M31" s="65">
        <f t="shared" si="6"/>
        <v>2031208.6626554939</v>
      </c>
      <c r="O31" s="118">
        <f t="shared" si="7"/>
        <v>24634547.851572827</v>
      </c>
      <c r="P31" s="251"/>
      <c r="Q31" s="264">
        <f>O31-'Check Sheet'!S29</f>
        <v>0.3929205946624279</v>
      </c>
    </row>
    <row r="32" spans="1:17" x14ac:dyDescent="0.2">
      <c r="A32" s="116">
        <v>23</v>
      </c>
      <c r="B32" s="116" t="s">
        <v>66</v>
      </c>
      <c r="C32" s="65">
        <f>Summary!B30</f>
        <v>18041169.881600775</v>
      </c>
      <c r="D32" s="117"/>
      <c r="E32" s="65">
        <f>'Page 1.4'!D27</f>
        <v>4908969.5254379706</v>
      </c>
      <c r="F32" s="65">
        <f>'Page 1.4'!E27</f>
        <v>-640597.99929913564</v>
      </c>
      <c r="G32" s="65">
        <f>'Page 1.4'!F27</f>
        <v>1868922.9352468082</v>
      </c>
      <c r="H32" s="65">
        <f>'Page 1.4'!G27</f>
        <v>1417759.0162333176</v>
      </c>
      <c r="I32" s="65">
        <f>'Page 1.4'!H27</f>
        <v>-22077623.369476851</v>
      </c>
      <c r="J32" s="65">
        <f>'Page 1.4'!I27</f>
        <v>-3462307.2983391811</v>
      </c>
      <c r="K32" s="65">
        <f>'Page 1.4'!J27</f>
        <v>1977691.6847788664</v>
      </c>
      <c r="M32" s="65">
        <f t="shared" si="6"/>
        <v>-16007185.505418207</v>
      </c>
      <c r="O32" s="118">
        <f t="shared" si="7"/>
        <v>2033984.3761825673</v>
      </c>
      <c r="P32" s="251"/>
      <c r="Q32" s="264">
        <f>O32-'Check Sheet'!S30</f>
        <v>-8.2345601171255112E-2</v>
      </c>
    </row>
    <row r="33" spans="1:17" x14ac:dyDescent="0.2">
      <c r="A33" s="116">
        <v>24</v>
      </c>
      <c r="B33" s="116" t="s">
        <v>67</v>
      </c>
      <c r="C33" s="65">
        <f>Summary!B31</f>
        <v>0</v>
      </c>
      <c r="D33" s="117"/>
      <c r="E33" s="65">
        <f>'Page 1.4'!D28</f>
        <v>0</v>
      </c>
      <c r="F33" s="65">
        <f>'Page 1.4'!E28</f>
        <v>0</v>
      </c>
      <c r="G33" s="65">
        <f>'Page 1.4'!F28</f>
        <v>0</v>
      </c>
      <c r="H33" s="65">
        <f>'Page 1.4'!G28</f>
        <v>0</v>
      </c>
      <c r="I33" s="65">
        <f>'Page 1.4'!H28</f>
        <v>0</v>
      </c>
      <c r="J33" s="65">
        <f>'Page 1.4'!I28</f>
        <v>0</v>
      </c>
      <c r="K33" s="65">
        <f>'Page 1.4'!J28</f>
        <v>0</v>
      </c>
      <c r="M33" s="65">
        <f t="shared" si="6"/>
        <v>0</v>
      </c>
      <c r="O33" s="118">
        <f t="shared" si="7"/>
        <v>0</v>
      </c>
      <c r="P33" s="251"/>
      <c r="Q33" s="264">
        <f>O33-'Check Sheet'!S31</f>
        <v>0</v>
      </c>
    </row>
    <row r="34" spans="1:17" x14ac:dyDescent="0.2">
      <c r="A34" s="116">
        <v>25</v>
      </c>
      <c r="B34" s="116" t="s">
        <v>68</v>
      </c>
      <c r="C34" s="65">
        <f>Summary!B32</f>
        <v>-7119820.7090670364</v>
      </c>
      <c r="D34" s="117"/>
      <c r="E34" s="65">
        <f>'Page 1.4'!D29</f>
        <v>0</v>
      </c>
      <c r="F34" s="65">
        <f>'Page 1.4'!E29</f>
        <v>1974.7413444922713</v>
      </c>
      <c r="G34" s="65">
        <f>'Page 1.4'!F29</f>
        <v>108413.62256774821</v>
      </c>
      <c r="H34" s="65">
        <f>'Page 1.4'!G29</f>
        <v>-23692931.812415481</v>
      </c>
      <c r="I34" s="65">
        <f>'Page 1.4'!H29</f>
        <v>7202729.6632482335</v>
      </c>
      <c r="J34" s="65">
        <f>'Page 1.4'!I29</f>
        <v>4629313.221375009</v>
      </c>
      <c r="K34" s="65">
        <f>'Page 1.4'!J29</f>
        <v>-459231.41713227727</v>
      </c>
      <c r="M34" s="65">
        <f t="shared" si="6"/>
        <v>-12209731.981012275</v>
      </c>
      <c r="O34" s="118">
        <f t="shared" si="7"/>
        <v>-19329552.690079313</v>
      </c>
      <c r="P34" s="251"/>
      <c r="Q34" s="264">
        <f>O34-'Check Sheet'!S32</f>
        <v>0</v>
      </c>
    </row>
    <row r="35" spans="1:17" x14ac:dyDescent="0.2">
      <c r="A35" s="116">
        <v>26</v>
      </c>
      <c r="B35" s="116" t="s">
        <v>69</v>
      </c>
      <c r="C35" s="65">
        <f>Summary!B33</f>
        <v>0</v>
      </c>
      <c r="D35" s="117"/>
      <c r="E35" s="65">
        <f>'Page 1.4'!D30</f>
        <v>0</v>
      </c>
      <c r="F35" s="65">
        <f>'Page 1.4'!E30</f>
        <v>0</v>
      </c>
      <c r="G35" s="65">
        <f>'Page 1.4'!F30</f>
        <v>0</v>
      </c>
      <c r="H35" s="65">
        <f>'Page 1.4'!G30</f>
        <v>0</v>
      </c>
      <c r="I35" s="65">
        <f>'Page 1.4'!H30</f>
        <v>0</v>
      </c>
      <c r="J35" s="65">
        <f>'Page 1.4'!I30</f>
        <v>0</v>
      </c>
      <c r="K35" s="65">
        <f>'Page 1.4'!J30</f>
        <v>0</v>
      </c>
      <c r="M35" s="65">
        <f t="shared" si="6"/>
        <v>0</v>
      </c>
      <c r="O35" s="118">
        <f t="shared" si="7"/>
        <v>0</v>
      </c>
      <c r="P35" s="251"/>
      <c r="Q35" s="264">
        <f>O35-'Check Sheet'!S33</f>
        <v>0</v>
      </c>
    </row>
    <row r="36" spans="1:17" x14ac:dyDescent="0.2">
      <c r="A36" s="116">
        <v>27</v>
      </c>
      <c r="B36" s="116" t="s">
        <v>70</v>
      </c>
      <c r="C36" s="65">
        <f>Summary!B34</f>
        <v>-260133.79775457806</v>
      </c>
      <c r="D36" s="117"/>
      <c r="E36" s="65">
        <f>'Page 1.4'!D31</f>
        <v>0</v>
      </c>
      <c r="F36" s="65">
        <f>'Page 1.4'!E31</f>
        <v>265149.29931887088</v>
      </c>
      <c r="G36" s="65">
        <f>'Page 1.4'!F31</f>
        <v>0</v>
      </c>
      <c r="H36" s="65">
        <f>'Page 1.4'!G31</f>
        <v>0</v>
      </c>
      <c r="I36" s="65">
        <f>'Page 1.4'!H31</f>
        <v>0</v>
      </c>
      <c r="J36" s="65">
        <f>'Page 1.4'!I31</f>
        <v>60419.600000000006</v>
      </c>
      <c r="K36" s="65">
        <f>'Page 1.4'!J31</f>
        <v>0</v>
      </c>
      <c r="M36" s="65">
        <f t="shared" si="6"/>
        <v>325568.89931887086</v>
      </c>
      <c r="O36" s="118">
        <f t="shared" si="7"/>
        <v>65435.101564292796</v>
      </c>
      <c r="P36" s="251"/>
      <c r="Q36" s="264">
        <f>O36-'Check Sheet'!S34</f>
        <v>0</v>
      </c>
    </row>
    <row r="37" spans="1:17" x14ac:dyDescent="0.2">
      <c r="A37" s="116">
        <v>28</v>
      </c>
      <c r="B37" s="116" t="s">
        <v>71</v>
      </c>
      <c r="C37" s="125">
        <f>SUM(C28:C36)</f>
        <v>288325036.953246</v>
      </c>
      <c r="D37" s="120"/>
      <c r="E37" s="125">
        <f t="shared" ref="E37:J37" si="8">SUM(E28:E36)</f>
        <v>4908969.5254379706</v>
      </c>
      <c r="F37" s="125">
        <f t="shared" si="8"/>
        <v>1723694.5316331033</v>
      </c>
      <c r="G37" s="125">
        <f t="shared" si="8"/>
        <v>-22137984.219112717</v>
      </c>
      <c r="H37" s="125">
        <f t="shared" si="8"/>
        <v>53727243.22124663</v>
      </c>
      <c r="I37" s="125">
        <f t="shared" si="8"/>
        <v>-12806216.102573946</v>
      </c>
      <c r="J37" s="125">
        <f t="shared" si="8"/>
        <v>16096128.295543004</v>
      </c>
      <c r="K37" s="125">
        <f t="shared" ref="K37" si="9">SUM(K28:K36)</f>
        <v>-5073176.0940531436</v>
      </c>
      <c r="M37" s="125">
        <f>SUM(M28:M36)</f>
        <v>36438659.158120908</v>
      </c>
      <c r="O37" s="125">
        <f>SUM(O28:O36)</f>
        <v>324763696.11136693</v>
      </c>
      <c r="P37" s="253"/>
      <c r="Q37" s="264">
        <f>O37-'Check Sheet'!S35</f>
        <v>0.31057500839233398</v>
      </c>
    </row>
    <row r="38" spans="1:17" ht="12.75" x14ac:dyDescent="0.2">
      <c r="A38" s="116">
        <v>29</v>
      </c>
      <c r="B38" s="116"/>
      <c r="C38" s="121"/>
      <c r="D38" s="117"/>
      <c r="E38" s="121"/>
      <c r="F38" s="121"/>
      <c r="G38" s="121"/>
      <c r="H38" s="121"/>
      <c r="I38" s="121"/>
      <c r="J38" s="121"/>
      <c r="K38" s="121"/>
      <c r="M38" s="121"/>
      <c r="O38" s="117"/>
      <c r="P38" s="253"/>
      <c r="Q38" s="264">
        <f>O38-'Check Sheet'!S36</f>
        <v>0</v>
      </c>
    </row>
    <row r="39" spans="1:17" ht="12" thickBot="1" x14ac:dyDescent="0.25">
      <c r="A39" s="116">
        <v>30</v>
      </c>
      <c r="B39" s="126" t="s">
        <v>72</v>
      </c>
      <c r="C39" s="127">
        <f>C15-C37</f>
        <v>65862798.296151578</v>
      </c>
      <c r="D39" s="128"/>
      <c r="E39" s="127">
        <f t="shared" ref="E39:J39" si="10">E15-E37</f>
        <v>18467075.833790462</v>
      </c>
      <c r="F39" s="127">
        <f t="shared" si="10"/>
        <v>-2403810.463221177</v>
      </c>
      <c r="G39" s="127">
        <f t="shared" si="10"/>
        <v>7337031.571504185</v>
      </c>
      <c r="H39" s="127">
        <f t="shared" si="10"/>
        <v>-53727243.22124663</v>
      </c>
      <c r="I39" s="127">
        <f t="shared" si="10"/>
        <v>12806216.102573946</v>
      </c>
      <c r="J39" s="127">
        <f t="shared" si="10"/>
        <v>1369792.2044570111</v>
      </c>
      <c r="K39" s="127">
        <f t="shared" ref="K39" si="11">K15-K37</f>
        <v>6031524.3361056065</v>
      </c>
      <c r="M39" s="127">
        <f>M15-M37</f>
        <v>-10119413.636036601</v>
      </c>
      <c r="O39" s="127">
        <f>O15-O37</f>
        <v>55743384.660114944</v>
      </c>
      <c r="P39" s="254"/>
      <c r="Q39" s="264">
        <f>O39-'Check Sheet'!S37</f>
        <v>-0.31057500839233398</v>
      </c>
    </row>
    <row r="40" spans="1:17" ht="13.5" thickTop="1" x14ac:dyDescent="0.2">
      <c r="A40" s="116">
        <v>31</v>
      </c>
      <c r="B40" s="116"/>
      <c r="C40" s="121"/>
      <c r="D40" s="117"/>
      <c r="E40" s="121"/>
      <c r="F40" s="121"/>
      <c r="G40" s="121"/>
      <c r="H40" s="121"/>
      <c r="I40" s="121"/>
      <c r="J40" s="121"/>
      <c r="K40" s="121"/>
      <c r="M40" s="121"/>
      <c r="Q40" s="264">
        <f>O40-'Check Sheet'!S38</f>
        <v>0</v>
      </c>
    </row>
    <row r="41" spans="1:17" ht="12.75" x14ac:dyDescent="0.2">
      <c r="A41" s="116">
        <v>32</v>
      </c>
      <c r="B41" s="116" t="s">
        <v>73</v>
      </c>
      <c r="C41" s="121"/>
      <c r="D41" s="117"/>
      <c r="E41" s="121"/>
      <c r="F41" s="121"/>
      <c r="G41" s="121"/>
      <c r="H41" s="121"/>
      <c r="I41" s="121"/>
      <c r="J41" s="121"/>
      <c r="K41" s="121"/>
      <c r="M41" s="121"/>
      <c r="Q41" s="264">
        <f>O41-'Check Sheet'!S39</f>
        <v>0</v>
      </c>
    </row>
    <row r="42" spans="1:17" x14ac:dyDescent="0.2">
      <c r="A42" s="116">
        <v>33</v>
      </c>
      <c r="B42" s="116" t="s">
        <v>74</v>
      </c>
      <c r="C42" s="65">
        <f>Summary!B40</f>
        <v>1869127179.5559554</v>
      </c>
      <c r="D42" s="117"/>
      <c r="E42" s="65">
        <f>'Page 1.4'!D37</f>
        <v>0</v>
      </c>
      <c r="F42" s="65">
        <f>'Page 1.4'!E37</f>
        <v>0</v>
      </c>
      <c r="G42" s="65">
        <f>'Page 1.4'!F37</f>
        <v>-27315181.895597834</v>
      </c>
      <c r="H42" s="65">
        <f>'Page 1.4'!G37</f>
        <v>0</v>
      </c>
      <c r="I42" s="65">
        <f>'Page 1.4'!H37</f>
        <v>0</v>
      </c>
      <c r="J42" s="65">
        <f>'Page 1.4'!I37</f>
        <v>307126761.63907075</v>
      </c>
      <c r="K42" s="65">
        <f>'Page 1.4'!J37</f>
        <v>-54526035.089904122</v>
      </c>
      <c r="M42" s="65">
        <f t="shared" ref="M42:M52" si="12">SUM(E42:L42)</f>
        <v>225285544.6535688</v>
      </c>
      <c r="O42" s="118">
        <f t="shared" ref="O42:O52" si="13">+C42+M42</f>
        <v>2094412724.2095242</v>
      </c>
      <c r="P42" s="251"/>
      <c r="Q42" s="264">
        <f>O42-'Check Sheet'!S40</f>
        <v>0</v>
      </c>
    </row>
    <row r="43" spans="1:17" x14ac:dyDescent="0.2">
      <c r="A43" s="116">
        <v>34</v>
      </c>
      <c r="B43" s="116" t="s">
        <v>75</v>
      </c>
      <c r="C43" s="65">
        <f>Summary!B41</f>
        <v>34942.962564657755</v>
      </c>
      <c r="D43" s="117"/>
      <c r="E43" s="65">
        <f>'Page 1.4'!D38</f>
        <v>0</v>
      </c>
      <c r="F43" s="65">
        <f>'Page 1.4'!E38</f>
        <v>0</v>
      </c>
      <c r="G43" s="65">
        <f>'Page 1.4'!F38</f>
        <v>0</v>
      </c>
      <c r="H43" s="65">
        <f>'Page 1.4'!G38</f>
        <v>0</v>
      </c>
      <c r="I43" s="65">
        <f>'Page 1.4'!H38</f>
        <v>0</v>
      </c>
      <c r="J43" s="65">
        <f>'Page 1.4'!I38</f>
        <v>0</v>
      </c>
      <c r="K43" s="65">
        <f>'Page 1.4'!J38</f>
        <v>0</v>
      </c>
      <c r="M43" s="65">
        <f t="shared" si="12"/>
        <v>0</v>
      </c>
      <c r="O43" s="118">
        <f t="shared" si="13"/>
        <v>34942.962564657755</v>
      </c>
      <c r="P43" s="251"/>
      <c r="Q43" s="264">
        <f>O43-'Check Sheet'!S41</f>
        <v>0</v>
      </c>
    </row>
    <row r="44" spans="1:17" x14ac:dyDescent="0.2">
      <c r="A44" s="116">
        <v>35</v>
      </c>
      <c r="B44" s="116" t="s">
        <v>76</v>
      </c>
      <c r="C44" s="65">
        <f>Summary!B42</f>
        <v>4541409.743199857</v>
      </c>
      <c r="D44" s="117"/>
      <c r="E44" s="65">
        <f>'Page 1.4'!D39</f>
        <v>0</v>
      </c>
      <c r="F44" s="65">
        <f>'Page 1.4'!E39</f>
        <v>0</v>
      </c>
      <c r="G44" s="65">
        <f>'Page 1.4'!F39</f>
        <v>0</v>
      </c>
      <c r="H44" s="65">
        <f>'Page 1.4'!G39</f>
        <v>0</v>
      </c>
      <c r="I44" s="65">
        <f>'Page 1.4'!H39</f>
        <v>0</v>
      </c>
      <c r="J44" s="65">
        <f>'Page 1.4'!I39</f>
        <v>-3860837.6868859874</v>
      </c>
      <c r="K44" s="65">
        <f>'Page 1.4'!J39</f>
        <v>0</v>
      </c>
      <c r="M44" s="65">
        <f t="shared" si="12"/>
        <v>-3860837.6868859874</v>
      </c>
      <c r="O44" s="118">
        <f t="shared" si="13"/>
        <v>680572.05631386954</v>
      </c>
      <c r="P44" s="251"/>
      <c r="Q44" s="264">
        <f>O44-'Check Sheet'!S42</f>
        <v>0</v>
      </c>
    </row>
    <row r="45" spans="1:17" x14ac:dyDescent="0.2">
      <c r="A45" s="116">
        <v>36</v>
      </c>
      <c r="B45" s="116" t="s">
        <v>77</v>
      </c>
      <c r="C45" s="65">
        <f>Summary!B43</f>
        <v>0</v>
      </c>
      <c r="D45" s="117"/>
      <c r="E45" s="65">
        <f>'Page 1.4'!D40</f>
        <v>0</v>
      </c>
      <c r="F45" s="65">
        <f>'Page 1.4'!E40</f>
        <v>0</v>
      </c>
      <c r="G45" s="65">
        <f>'Page 1.4'!F40</f>
        <v>0</v>
      </c>
      <c r="H45" s="65">
        <f>'Page 1.4'!G40</f>
        <v>0</v>
      </c>
      <c r="I45" s="65">
        <f>'Page 1.4'!H40</f>
        <v>0</v>
      </c>
      <c r="J45" s="65">
        <f>'Page 1.4'!I40</f>
        <v>0</v>
      </c>
      <c r="K45" s="65">
        <f>'Page 1.4'!J40</f>
        <v>0</v>
      </c>
      <c r="M45" s="65">
        <f t="shared" si="12"/>
        <v>0</v>
      </c>
      <c r="O45" s="118">
        <f t="shared" si="13"/>
        <v>0</v>
      </c>
      <c r="P45" s="251"/>
      <c r="Q45" s="264">
        <f>O45-'Check Sheet'!S43</f>
        <v>0</v>
      </c>
    </row>
    <row r="46" spans="1:17" x14ac:dyDescent="0.2">
      <c r="A46" s="116">
        <v>37</v>
      </c>
      <c r="B46" s="116" t="s">
        <v>78</v>
      </c>
      <c r="C46" s="65">
        <f>Summary!B44</f>
        <v>0</v>
      </c>
      <c r="D46" s="117"/>
      <c r="E46" s="65">
        <f>'Page 1.4'!D41</f>
        <v>0</v>
      </c>
      <c r="F46" s="65">
        <f>'Page 1.4'!E41</f>
        <v>0</v>
      </c>
      <c r="G46" s="65">
        <f>'Page 1.4'!F41</f>
        <v>0</v>
      </c>
      <c r="H46" s="65">
        <f>'Page 1.4'!G41</f>
        <v>0</v>
      </c>
      <c r="I46" s="65">
        <f>'Page 1.4'!H41</f>
        <v>0</v>
      </c>
      <c r="J46" s="65">
        <f>'Page 1.4'!I41</f>
        <v>0</v>
      </c>
      <c r="K46" s="65">
        <f>'Page 1.4'!J41</f>
        <v>0</v>
      </c>
      <c r="M46" s="65">
        <f t="shared" si="12"/>
        <v>0</v>
      </c>
      <c r="O46" s="118">
        <f t="shared" si="13"/>
        <v>0</v>
      </c>
      <c r="P46" s="251"/>
      <c r="Q46" s="264">
        <f>O46-'Check Sheet'!S44</f>
        <v>0</v>
      </c>
    </row>
    <row r="47" spans="1:17" x14ac:dyDescent="0.2">
      <c r="A47" s="116">
        <v>38</v>
      </c>
      <c r="B47" s="116" t="s">
        <v>79</v>
      </c>
      <c r="C47" s="65">
        <f>Summary!B45</f>
        <v>2033329.3412143218</v>
      </c>
      <c r="D47" s="117"/>
      <c r="E47" s="65">
        <f>'Page 1.4'!D42</f>
        <v>0</v>
      </c>
      <c r="F47" s="65">
        <f>'Page 1.4'!E42</f>
        <v>0</v>
      </c>
      <c r="G47" s="65">
        <f>'Page 1.4'!F42</f>
        <v>0</v>
      </c>
      <c r="H47" s="65">
        <f>'Page 1.4'!G42</f>
        <v>0</v>
      </c>
      <c r="I47" s="65">
        <f>'Page 1.4'!H42</f>
        <v>0</v>
      </c>
      <c r="J47" s="65">
        <f>'Page 1.4'!I42</f>
        <v>-2033329.3412143218</v>
      </c>
      <c r="K47" s="65">
        <f>'Page 1.4'!J42</f>
        <v>0</v>
      </c>
      <c r="M47" s="65">
        <f t="shared" si="12"/>
        <v>-2033329.3412143218</v>
      </c>
      <c r="O47" s="118">
        <f t="shared" si="13"/>
        <v>0</v>
      </c>
      <c r="P47" s="251"/>
      <c r="Q47" s="264">
        <f>O47-'Check Sheet'!S45</f>
        <v>0</v>
      </c>
    </row>
    <row r="48" spans="1:17" x14ac:dyDescent="0.2">
      <c r="A48" s="116">
        <v>39</v>
      </c>
      <c r="B48" s="116" t="s">
        <v>80</v>
      </c>
      <c r="C48" s="65">
        <f>Summary!B46</f>
        <v>5721215.855558129</v>
      </c>
      <c r="D48" s="117"/>
      <c r="E48" s="65">
        <f>'Page 1.4'!D43</f>
        <v>0</v>
      </c>
      <c r="F48" s="65">
        <f>'Page 1.4'!E43</f>
        <v>0</v>
      </c>
      <c r="G48" s="65">
        <f>'Page 1.4'!F43</f>
        <v>0</v>
      </c>
      <c r="H48" s="65">
        <f>'Page 1.4'!G43</f>
        <v>0</v>
      </c>
      <c r="I48" s="65">
        <f>'Page 1.4'!H43</f>
        <v>0</v>
      </c>
      <c r="J48" s="65">
        <f>'Page 1.4'!I43</f>
        <v>-5721215.8555581281</v>
      </c>
      <c r="K48" s="65">
        <f>'Page 1.4'!J43</f>
        <v>0</v>
      </c>
      <c r="M48" s="65">
        <f t="shared" si="12"/>
        <v>-5721215.8555581281</v>
      </c>
      <c r="O48" s="118">
        <f t="shared" si="13"/>
        <v>0</v>
      </c>
      <c r="P48" s="251"/>
      <c r="Q48" s="264">
        <f>O48-'Check Sheet'!S46</f>
        <v>0</v>
      </c>
    </row>
    <row r="49" spans="1:17" x14ac:dyDescent="0.2">
      <c r="A49" s="116">
        <v>40</v>
      </c>
      <c r="B49" s="116" t="s">
        <v>81</v>
      </c>
      <c r="C49" s="65">
        <f>Summary!B47</f>
        <v>8818868.4866138063</v>
      </c>
      <c r="D49" s="117"/>
      <c r="E49" s="65">
        <f>'Page 1.4'!D44</f>
        <v>0</v>
      </c>
      <c r="F49" s="65">
        <f>'Page 1.4'!E44</f>
        <v>0</v>
      </c>
      <c r="G49" s="65">
        <f>'Page 1.4'!F44</f>
        <v>0</v>
      </c>
      <c r="H49" s="65">
        <f>'Page 1.4'!G44</f>
        <v>0</v>
      </c>
      <c r="I49" s="65">
        <f>'Page 1.4'!H44</f>
        <v>0</v>
      </c>
      <c r="J49" s="65">
        <f>'Page 1.4'!I44</f>
        <v>-8818868.4865037892</v>
      </c>
      <c r="K49" s="65">
        <f>'Page 1.4'!J44</f>
        <v>0</v>
      </c>
      <c r="M49" s="65">
        <f t="shared" si="12"/>
        <v>-8818868.4865037892</v>
      </c>
      <c r="O49" s="118">
        <f t="shared" si="13"/>
        <v>1.1001713573932648E-4</v>
      </c>
      <c r="P49" s="251"/>
      <c r="Q49" s="264">
        <f>O49-'Check Sheet'!S47</f>
        <v>0</v>
      </c>
    </row>
    <row r="50" spans="1:17" x14ac:dyDescent="0.2">
      <c r="A50" s="116">
        <v>41</v>
      </c>
      <c r="B50" s="116" t="s">
        <v>82</v>
      </c>
      <c r="C50" s="65">
        <f>Summary!B48</f>
        <v>2839473.9421010017</v>
      </c>
      <c r="D50" s="117"/>
      <c r="E50" s="65">
        <f>'Page 1.4'!D45</f>
        <v>0</v>
      </c>
      <c r="F50" s="65">
        <f>'Page 1.4'!E45</f>
        <v>0</v>
      </c>
      <c r="G50" s="65">
        <f>'Page 1.4'!F45</f>
        <v>0</v>
      </c>
      <c r="H50" s="65">
        <f>'Page 1.4'!G45</f>
        <v>0</v>
      </c>
      <c r="I50" s="65">
        <f>'Page 1.4'!H45</f>
        <v>0</v>
      </c>
      <c r="J50" s="65">
        <f>'Page 1.4'!I45</f>
        <v>20620031.009925332</v>
      </c>
      <c r="K50" s="65">
        <f>'Page 1.4'!J45</f>
        <v>0</v>
      </c>
      <c r="M50" s="65">
        <f t="shared" si="12"/>
        <v>20620031.009925332</v>
      </c>
      <c r="O50" s="118">
        <f t="shared" si="13"/>
        <v>23459504.952026334</v>
      </c>
      <c r="P50" s="251"/>
      <c r="Q50" s="264">
        <f>O50-'Check Sheet'!S48</f>
        <v>8.0093741416931152E-7</v>
      </c>
    </row>
    <row r="51" spans="1:17" x14ac:dyDescent="0.2">
      <c r="A51" s="116">
        <v>42</v>
      </c>
      <c r="B51" s="116" t="s">
        <v>83</v>
      </c>
      <c r="C51" s="65">
        <f>Summary!B49</f>
        <v>5092.6441051398033</v>
      </c>
      <c r="D51" s="117"/>
      <c r="E51" s="65">
        <f>'Page 1.4'!D46</f>
        <v>0</v>
      </c>
      <c r="F51" s="65">
        <f>'Page 1.4'!E46</f>
        <v>0</v>
      </c>
      <c r="G51" s="65">
        <f>'Page 1.4'!F46</f>
        <v>0</v>
      </c>
      <c r="H51" s="65">
        <f>'Page 1.4'!G46</f>
        <v>0</v>
      </c>
      <c r="I51" s="65">
        <f>'Page 1.4'!H46</f>
        <v>0</v>
      </c>
      <c r="J51" s="65">
        <f>'Page 1.4'!I46</f>
        <v>0</v>
      </c>
      <c r="K51" s="65">
        <f>'Page 1.4'!J46</f>
        <v>0</v>
      </c>
      <c r="M51" s="65">
        <f t="shared" si="12"/>
        <v>0</v>
      </c>
      <c r="O51" s="118">
        <f t="shared" si="13"/>
        <v>5092.6441051398033</v>
      </c>
      <c r="P51" s="251"/>
      <c r="Q51" s="264">
        <f>O51-'Check Sheet'!S49</f>
        <v>0</v>
      </c>
    </row>
    <row r="52" spans="1:17" x14ac:dyDescent="0.2">
      <c r="A52" s="116">
        <v>43</v>
      </c>
      <c r="B52" s="116" t="s">
        <v>84</v>
      </c>
      <c r="C52" s="65">
        <f>Summary!B50</f>
        <v>0</v>
      </c>
      <c r="D52" s="117"/>
      <c r="E52" s="65">
        <f>'Page 1.4'!D47</f>
        <v>0</v>
      </c>
      <c r="F52" s="65">
        <f>'Page 1.4'!E47</f>
        <v>0</v>
      </c>
      <c r="G52" s="65">
        <f>'Page 1.4'!F47</f>
        <v>0</v>
      </c>
      <c r="H52" s="65">
        <f>'Page 1.4'!G47</f>
        <v>0</v>
      </c>
      <c r="I52" s="65">
        <f>'Page 1.4'!H47</f>
        <v>0</v>
      </c>
      <c r="J52" s="65">
        <f>'Page 1.4'!I47</f>
        <v>0</v>
      </c>
      <c r="K52" s="65">
        <f>'Page 1.4'!J47</f>
        <v>0</v>
      </c>
      <c r="M52" s="65">
        <f t="shared" si="12"/>
        <v>0</v>
      </c>
      <c r="O52" s="118">
        <f t="shared" si="13"/>
        <v>0</v>
      </c>
      <c r="P52" s="251"/>
      <c r="Q52" s="264">
        <f>O52-'Check Sheet'!S50</f>
        <v>0</v>
      </c>
    </row>
    <row r="53" spans="1:17" x14ac:dyDescent="0.2">
      <c r="A53" s="116">
        <v>44</v>
      </c>
      <c r="B53" s="116" t="s">
        <v>85</v>
      </c>
      <c r="C53" s="125">
        <f>SUM(C42:C52)</f>
        <v>1893121512.5313125</v>
      </c>
      <c r="D53" s="120"/>
      <c r="E53" s="125">
        <f t="shared" ref="E53:J53" si="14">SUM(E42:E52)</f>
        <v>0</v>
      </c>
      <c r="F53" s="125">
        <f t="shared" si="14"/>
        <v>0</v>
      </c>
      <c r="G53" s="125">
        <f t="shared" si="14"/>
        <v>-27315181.895597834</v>
      </c>
      <c r="H53" s="125">
        <f t="shared" si="14"/>
        <v>0</v>
      </c>
      <c r="I53" s="125">
        <f t="shared" si="14"/>
        <v>0</v>
      </c>
      <c r="J53" s="125">
        <f t="shared" si="14"/>
        <v>307312541.27883381</v>
      </c>
      <c r="K53" s="125">
        <f t="shared" ref="K53" si="15">SUM(K42:K52)</f>
        <v>-54526035.089904122</v>
      </c>
      <c r="M53" s="125">
        <f>SUM(M42:M52)</f>
        <v>225471324.29333192</v>
      </c>
      <c r="O53" s="125">
        <f>SUM(O42:O52)</f>
        <v>2118592836.8246441</v>
      </c>
      <c r="P53" s="253"/>
      <c r="Q53" s="264">
        <f>O53-'Check Sheet'!S51</f>
        <v>0</v>
      </c>
    </row>
    <row r="54" spans="1:17" ht="12.75" x14ac:dyDescent="0.2">
      <c r="A54" s="116">
        <v>45</v>
      </c>
      <c r="B54" s="116"/>
      <c r="C54" s="121"/>
      <c r="D54" s="117"/>
      <c r="E54" s="121"/>
      <c r="F54" s="121"/>
      <c r="G54" s="121"/>
      <c r="H54" s="121"/>
      <c r="I54" s="121"/>
      <c r="J54" s="121"/>
      <c r="K54" s="121"/>
      <c r="M54" s="121"/>
      <c r="Q54" s="264">
        <f>O54-'Check Sheet'!S52</f>
        <v>0</v>
      </c>
    </row>
    <row r="55" spans="1:17" ht="12.75" x14ac:dyDescent="0.2">
      <c r="A55" s="116">
        <v>46</v>
      </c>
      <c r="B55" s="116" t="s">
        <v>86</v>
      </c>
      <c r="C55" s="121"/>
      <c r="D55" s="117"/>
      <c r="E55" s="121"/>
      <c r="F55" s="121"/>
      <c r="G55" s="121"/>
      <c r="H55" s="121"/>
      <c r="I55" s="121"/>
      <c r="J55" s="121"/>
      <c r="K55" s="121"/>
      <c r="M55" s="121"/>
      <c r="Q55" s="264">
        <f>O55-'Check Sheet'!S53</f>
        <v>0</v>
      </c>
    </row>
    <row r="56" spans="1:17" x14ac:dyDescent="0.2">
      <c r="A56" s="116">
        <v>47</v>
      </c>
      <c r="B56" s="116" t="s">
        <v>87</v>
      </c>
      <c r="C56" s="65">
        <f>Summary!B54</f>
        <v>-743720454.69041991</v>
      </c>
      <c r="D56" s="117"/>
      <c r="E56" s="65">
        <f>'Page 1.4'!D51</f>
        <v>0</v>
      </c>
      <c r="F56" s="65">
        <f>'Page 1.4'!E51</f>
        <v>0</v>
      </c>
      <c r="G56" s="65">
        <f>'Page 1.4'!F51</f>
        <v>20667243.049652372</v>
      </c>
      <c r="H56" s="65">
        <f>'Page 1.4'!G51</f>
        <v>-102161036.24888787</v>
      </c>
      <c r="I56" s="65">
        <f>'Page 1.4'!H51</f>
        <v>0</v>
      </c>
      <c r="J56" s="65">
        <f>'Page 1.4'!I51</f>
        <v>41265364.262999192</v>
      </c>
      <c r="K56" s="65">
        <f>'Page 1.4'!J51</f>
        <v>24744508.865580995</v>
      </c>
      <c r="M56" s="65">
        <f t="shared" ref="M56:M62" si="16">SUM(E56:L56)</f>
        <v>-15483920.070655312</v>
      </c>
      <c r="O56" s="118">
        <f t="shared" ref="O56:O63" si="17">+C56+M56</f>
        <v>-759204374.76107526</v>
      </c>
      <c r="P56" s="251"/>
      <c r="Q56" s="264">
        <f>O56-'Check Sheet'!S54</f>
        <v>0</v>
      </c>
    </row>
    <row r="57" spans="1:17" x14ac:dyDescent="0.2">
      <c r="A57" s="116">
        <v>48</v>
      </c>
      <c r="B57" s="116" t="s">
        <v>88</v>
      </c>
      <c r="C57" s="65">
        <f>Summary!B55</f>
        <v>-61553794.228224881</v>
      </c>
      <c r="D57" s="117"/>
      <c r="E57" s="65">
        <f>'Page 1.4'!D52</f>
        <v>0</v>
      </c>
      <c r="F57" s="65">
        <f>'Page 1.4'!E52</f>
        <v>0</v>
      </c>
      <c r="G57" s="65">
        <f>'Page 1.4'!F52</f>
        <v>-399.52501906083393</v>
      </c>
      <c r="H57" s="65">
        <f>'Page 1.4'!G52</f>
        <v>-5683079.0028291726</v>
      </c>
      <c r="I57" s="65">
        <f>'Page 1.4'!H52</f>
        <v>0</v>
      </c>
      <c r="J57" s="65">
        <f>'Page 1.4'!I52</f>
        <v>0</v>
      </c>
      <c r="K57" s="65">
        <f>'Page 1.4'!J52</f>
        <v>5363476.1424726378</v>
      </c>
      <c r="M57" s="65">
        <f t="shared" si="16"/>
        <v>-320002.38537559565</v>
      </c>
      <c r="O57" s="118">
        <f t="shared" si="17"/>
        <v>-61873796.613600478</v>
      </c>
      <c r="P57" s="251"/>
      <c r="Q57" s="264">
        <f>O57-'Check Sheet'!S55</f>
        <v>0</v>
      </c>
    </row>
    <row r="58" spans="1:17" x14ac:dyDescent="0.2">
      <c r="A58" s="116">
        <v>49</v>
      </c>
      <c r="B58" s="116" t="s">
        <v>89</v>
      </c>
      <c r="C58" s="65">
        <f>Summary!B56</f>
        <v>-272700960.75965124</v>
      </c>
      <c r="D58" s="117"/>
      <c r="E58" s="65">
        <f>'Page 1.4'!D53</f>
        <v>0</v>
      </c>
      <c r="F58" s="65">
        <f>'Page 1.4'!E53</f>
        <v>-20743.75673634035</v>
      </c>
      <c r="G58" s="65">
        <f>'Page 1.4'!F53</f>
        <v>1834218.0700795404</v>
      </c>
      <c r="H58" s="65">
        <f>'Page 1.4'!G53</f>
        <v>10173154.57103519</v>
      </c>
      <c r="I58" s="65">
        <f>'Page 1.4'!H53</f>
        <v>43404315.260914028</v>
      </c>
      <c r="J58" s="65">
        <f>'Page 1.4'!I53</f>
        <v>-241528.80045586452</v>
      </c>
      <c r="K58" s="65">
        <f>'Page 1.4'!J53</f>
        <v>-3321151.3904553587</v>
      </c>
      <c r="M58" s="65">
        <f t="shared" si="16"/>
        <v>51828263.95438119</v>
      </c>
      <c r="O58" s="118">
        <f t="shared" si="17"/>
        <v>-220872696.80527005</v>
      </c>
      <c r="P58" s="251"/>
      <c r="Q58" s="264">
        <f>O58-'Check Sheet'!S56</f>
        <v>-3.4220904111862183E-2</v>
      </c>
    </row>
    <row r="59" spans="1:17" x14ac:dyDescent="0.2">
      <c r="A59" s="116">
        <v>50</v>
      </c>
      <c r="B59" s="116" t="s">
        <v>90</v>
      </c>
      <c r="C59" s="65">
        <f>Summary!B57</f>
        <v>-19597.460327859608</v>
      </c>
      <c r="D59" s="117"/>
      <c r="E59" s="65">
        <f>'Page 1.4'!D54</f>
        <v>0</v>
      </c>
      <c r="F59" s="65">
        <f>'Page 1.4'!E54</f>
        <v>0</v>
      </c>
      <c r="G59" s="65">
        <f>'Page 1.4'!F54</f>
        <v>0</v>
      </c>
      <c r="H59" s="65">
        <f>'Page 1.4'!G54</f>
        <v>0</v>
      </c>
      <c r="I59" s="65">
        <f>'Page 1.4'!H54</f>
        <v>0</v>
      </c>
      <c r="J59" s="65">
        <f>'Page 1.4'!I54</f>
        <v>0</v>
      </c>
      <c r="K59" s="65">
        <f>'Page 1.4'!J54</f>
        <v>0</v>
      </c>
      <c r="M59" s="65">
        <f t="shared" si="16"/>
        <v>0</v>
      </c>
      <c r="O59" s="118">
        <f t="shared" si="17"/>
        <v>-19597.460327859608</v>
      </c>
      <c r="P59" s="251"/>
      <c r="Q59" s="264">
        <f>O59-'Check Sheet'!S57</f>
        <v>0</v>
      </c>
    </row>
    <row r="60" spans="1:17" x14ac:dyDescent="0.2">
      <c r="A60" s="116">
        <v>51</v>
      </c>
      <c r="B60" s="116" t="s">
        <v>91</v>
      </c>
      <c r="C60" s="65">
        <f>Summary!B58</f>
        <v>22214.951184419831</v>
      </c>
      <c r="D60" s="117"/>
      <c r="E60" s="65">
        <f>'Page 1.4'!D55</f>
        <v>0</v>
      </c>
      <c r="F60" s="65">
        <f>'Page 1.4'!E55</f>
        <v>0</v>
      </c>
      <c r="G60" s="65">
        <f>'Page 1.4'!F55</f>
        <v>0</v>
      </c>
      <c r="H60" s="65">
        <f>'Page 1.4'!G55</f>
        <v>0</v>
      </c>
      <c r="I60" s="65">
        <f>'Page 1.4'!H55</f>
        <v>0</v>
      </c>
      <c r="J60" s="65">
        <f>'Page 1.4'!I55</f>
        <v>-2502028.2767103352</v>
      </c>
      <c r="K60" s="65">
        <f>'Page 1.4'!J55</f>
        <v>0</v>
      </c>
      <c r="M60" s="65">
        <f t="shared" si="16"/>
        <v>-2502028.2767103352</v>
      </c>
      <c r="O60" s="118">
        <f t="shared" si="17"/>
        <v>-2479813.3255259153</v>
      </c>
      <c r="P60" s="251"/>
      <c r="Q60" s="264">
        <f>O60-'Check Sheet'!S58</f>
        <v>0</v>
      </c>
    </row>
    <row r="61" spans="1:17" x14ac:dyDescent="0.2">
      <c r="A61" s="116">
        <v>52</v>
      </c>
      <c r="B61" s="116" t="s">
        <v>92</v>
      </c>
      <c r="C61" s="65">
        <f>Summary!B59</f>
        <v>0</v>
      </c>
      <c r="D61" s="117"/>
      <c r="E61" s="65">
        <f>'Page 1.4'!D56</f>
        <v>0</v>
      </c>
      <c r="F61" s="65">
        <f>'Page 1.4'!E56</f>
        <v>0</v>
      </c>
      <c r="G61" s="65">
        <f>'Page 1.4'!F56</f>
        <v>0</v>
      </c>
      <c r="H61" s="65">
        <f>'Page 1.4'!G56</f>
        <v>0</v>
      </c>
      <c r="I61" s="65">
        <f>'Page 1.4'!H56</f>
        <v>0</v>
      </c>
      <c r="J61" s="65">
        <f>'Page 1.4'!I56</f>
        <v>-2829106.1541666668</v>
      </c>
      <c r="K61" s="65">
        <f>'Page 1.4'!J56</f>
        <v>0</v>
      </c>
      <c r="M61" s="65">
        <f t="shared" si="16"/>
        <v>-2829106.1541666668</v>
      </c>
      <c r="O61" s="118">
        <f t="shared" si="17"/>
        <v>-2829106.1541666668</v>
      </c>
      <c r="P61" s="251"/>
      <c r="Q61" s="264">
        <f>O61-'Check Sheet'!S59</f>
        <v>0</v>
      </c>
    </row>
    <row r="62" spans="1:17" x14ac:dyDescent="0.2">
      <c r="A62" s="116">
        <v>53</v>
      </c>
      <c r="B62" s="116" t="s">
        <v>93</v>
      </c>
      <c r="C62" s="65">
        <f>Summary!B60</f>
        <v>-36449285.999016821</v>
      </c>
      <c r="D62" s="117"/>
      <c r="E62" s="65">
        <f>'Page 1.4'!D57</f>
        <v>0</v>
      </c>
      <c r="F62" s="65">
        <f>'Page 1.4'!E57</f>
        <v>0</v>
      </c>
      <c r="G62" s="65">
        <f>'Page 1.4'!F57</f>
        <v>0</v>
      </c>
      <c r="H62" s="65">
        <f>'Page 1.4'!G57</f>
        <v>0</v>
      </c>
      <c r="I62" s="65">
        <f>'Page 1.4'!H57</f>
        <v>3070693</v>
      </c>
      <c r="J62" s="65">
        <f>'Page 1.4'!I57</f>
        <v>-21960650.78050717</v>
      </c>
      <c r="K62" s="65">
        <f>'Page 1.4'!J57</f>
        <v>0</v>
      </c>
      <c r="M62" s="65">
        <f t="shared" si="16"/>
        <v>-18889957.78050717</v>
      </c>
      <c r="O62" s="118">
        <f t="shared" si="17"/>
        <v>-55339243.779523991</v>
      </c>
      <c r="P62" s="251"/>
      <c r="Q62" s="264">
        <f>O62-'Check Sheet'!S60</f>
        <v>0</v>
      </c>
    </row>
    <row r="63" spans="1:17" ht="12.75" x14ac:dyDescent="0.2">
      <c r="A63" s="116">
        <v>54</v>
      </c>
      <c r="B63" s="116"/>
      <c r="C63" s="121"/>
      <c r="D63" s="117"/>
      <c r="E63" s="65">
        <f>'Page 1.4'!D58</f>
        <v>0</v>
      </c>
      <c r="F63" s="65">
        <f>'Page 1.4'!E58</f>
        <v>0</v>
      </c>
      <c r="G63" s="65">
        <f>'Page 1.4'!F58</f>
        <v>0</v>
      </c>
      <c r="H63" s="65">
        <f>'Page 1.4'!G58</f>
        <v>0</v>
      </c>
      <c r="I63" s="65">
        <f>'Page 1.4'!H58</f>
        <v>0</v>
      </c>
      <c r="J63" s="65">
        <f>'Page 1.4'!I58</f>
        <v>0</v>
      </c>
      <c r="K63" s="65">
        <f>'Page 1.4'!J58</f>
        <v>0</v>
      </c>
      <c r="M63" s="121"/>
      <c r="O63" s="118">
        <f t="shared" si="17"/>
        <v>0</v>
      </c>
      <c r="P63" s="251"/>
      <c r="Q63" s="264">
        <f>O63-'Check Sheet'!S61</f>
        <v>0</v>
      </c>
    </row>
    <row r="64" spans="1:17" x14ac:dyDescent="0.2">
      <c r="A64" s="116">
        <v>55</v>
      </c>
      <c r="B64" s="116" t="s">
        <v>94</v>
      </c>
      <c r="C64" s="125">
        <f>SUM(C56:C63)</f>
        <v>-1114421878.1864562</v>
      </c>
      <c r="D64" s="120"/>
      <c r="E64" s="125">
        <f t="shared" ref="E64:J64" si="18">SUM(E56:E63)</f>
        <v>0</v>
      </c>
      <c r="F64" s="125">
        <f t="shared" si="18"/>
        <v>-20743.75673634035</v>
      </c>
      <c r="G64" s="125">
        <f t="shared" si="18"/>
        <v>22501061.59471285</v>
      </c>
      <c r="H64" s="125">
        <f t="shared" si="18"/>
        <v>-97670960.680681854</v>
      </c>
      <c r="I64" s="125">
        <f t="shared" si="18"/>
        <v>46475008.260914028</v>
      </c>
      <c r="J64" s="125">
        <f t="shared" si="18"/>
        <v>13732050.251159154</v>
      </c>
      <c r="K64" s="125">
        <f t="shared" ref="K64" si="19">SUM(K56:K63)</f>
        <v>26786833.617598273</v>
      </c>
      <c r="M64" s="125">
        <f>SUM(M56:M63)</f>
        <v>11803249.286966108</v>
      </c>
      <c r="O64" s="125">
        <f>SUM(O56:O63)</f>
        <v>-1102618628.8994904</v>
      </c>
      <c r="P64" s="253"/>
      <c r="Q64" s="264">
        <f>O64-'Check Sheet'!S62</f>
        <v>-3.422093391418457E-2</v>
      </c>
    </row>
    <row r="65" spans="1:17" ht="12.75" x14ac:dyDescent="0.2">
      <c r="A65" s="116">
        <v>56</v>
      </c>
      <c r="B65" s="116"/>
      <c r="C65" s="121"/>
      <c r="D65" s="117"/>
      <c r="E65" s="121"/>
      <c r="F65" s="121"/>
      <c r="G65" s="121"/>
      <c r="H65" s="121"/>
      <c r="I65" s="121"/>
      <c r="J65" s="121"/>
      <c r="K65" s="121"/>
      <c r="M65" s="121"/>
      <c r="O65" s="117"/>
      <c r="P65" s="253"/>
      <c r="Q65" s="264"/>
    </row>
    <row r="66" spans="1:17" ht="12" thickBot="1" x14ac:dyDescent="0.25">
      <c r="A66" s="116">
        <v>57</v>
      </c>
      <c r="B66" s="116" t="s">
        <v>95</v>
      </c>
      <c r="C66" s="127">
        <f>C53+C64</f>
        <v>778699634.34485626</v>
      </c>
      <c r="D66" s="120"/>
      <c r="E66" s="127">
        <f t="shared" ref="E66:J66" si="20">E53+E64</f>
        <v>0</v>
      </c>
      <c r="F66" s="127">
        <f t="shared" si="20"/>
        <v>-20743.75673634035</v>
      </c>
      <c r="G66" s="127">
        <f t="shared" si="20"/>
        <v>-4814120.3008849844</v>
      </c>
      <c r="H66" s="127">
        <f t="shared" si="20"/>
        <v>-97670960.680681854</v>
      </c>
      <c r="I66" s="127">
        <f t="shared" si="20"/>
        <v>46475008.260914028</v>
      </c>
      <c r="J66" s="127">
        <f t="shared" si="20"/>
        <v>321044591.52999294</v>
      </c>
      <c r="K66" s="127">
        <f t="shared" ref="K66" si="21">K53+K64</f>
        <v>-27739201.472305849</v>
      </c>
      <c r="M66" s="127">
        <f>M53+M64</f>
        <v>237274573.58029804</v>
      </c>
      <c r="O66" s="127">
        <f>O53+O64</f>
        <v>1015974207.9251537</v>
      </c>
      <c r="P66" s="253"/>
      <c r="Q66" s="264">
        <f>O66-'Check Sheet'!S64</f>
        <v>-3.4220218658447266E-2</v>
      </c>
    </row>
    <row r="67" spans="1:17" ht="13.5" thickTop="1" x14ac:dyDescent="0.2">
      <c r="A67" s="116">
        <v>58</v>
      </c>
      <c r="B67" s="116"/>
      <c r="C67" s="121"/>
      <c r="D67" s="117"/>
      <c r="E67" s="121"/>
      <c r="F67" s="121"/>
      <c r="G67" s="121"/>
      <c r="H67" s="121"/>
      <c r="I67" s="121"/>
      <c r="J67" s="121"/>
      <c r="K67" s="121"/>
      <c r="M67" s="121"/>
      <c r="Q67" s="264"/>
    </row>
    <row r="68" spans="1:17" s="143" customFormat="1" x14ac:dyDescent="0.2">
      <c r="A68" s="139">
        <v>59</v>
      </c>
      <c r="B68" s="139" t="s">
        <v>96</v>
      </c>
      <c r="C68" s="140">
        <f>Unadj_ROE</f>
        <v>0.1165238099568558</v>
      </c>
      <c r="D68" s="141"/>
      <c r="E68" s="265">
        <f>'Page 1.4'!D63</f>
        <v>4.5128972072199403E-2</v>
      </c>
      <c r="F68" s="265">
        <f>'Page 1.4'!E63</f>
        <v>-5.8701878134184426E-3</v>
      </c>
      <c r="G68" s="265">
        <f>'Page 1.4'!F63</f>
        <v>1.9042668574060811E-2</v>
      </c>
      <c r="H68" s="265">
        <f>'Page 1.4'!G63</f>
        <v>-0.12704290024067577</v>
      </c>
      <c r="I68" s="265">
        <f>'Page 1.4'!H63</f>
        <v>2.0467568842925665E-2</v>
      </c>
      <c r="J68" s="265">
        <f>'Page 1.4'!I63</f>
        <v>-4.4616061166413826E-2</v>
      </c>
      <c r="K68" s="265">
        <f>'Page 1.4'!J63</f>
        <v>2.1229318242676487E-2</v>
      </c>
      <c r="L68" s="142"/>
      <c r="M68" s="140"/>
      <c r="N68" s="142"/>
      <c r="O68" s="140">
        <f>Summary!J67</f>
        <v>5.9980397324548171E-2</v>
      </c>
      <c r="P68" s="255"/>
      <c r="Q68" s="264"/>
    </row>
    <row r="69" spans="1:17" x14ac:dyDescent="0.2">
      <c r="A69" s="116">
        <v>60</v>
      </c>
      <c r="B69" s="104" t="s">
        <v>134</v>
      </c>
      <c r="C69" s="65">
        <f>Summary!B68</f>
        <v>-7891176.7000832269</v>
      </c>
      <c r="D69" s="129"/>
      <c r="E69" s="65">
        <f>'Page 1.4'!D64</f>
        <v>-24519784.68271986</v>
      </c>
      <c r="F69" s="65">
        <f>'Page 1.4'!E64</f>
        <v>3189556.2210140941</v>
      </c>
      <c r="G69" s="65">
        <f>'Page 1.4'!F64</f>
        <v>-10233644.835244443</v>
      </c>
      <c r="H69" s="65">
        <f>'Page 1.4'!G64</f>
        <v>61357811.424641266</v>
      </c>
      <c r="I69" s="65">
        <f>'Page 1.4'!H64</f>
        <v>-12255256.559332449</v>
      </c>
      <c r="J69" s="65">
        <f>'Page 1.4'!I64</f>
        <v>30981903.823738877</v>
      </c>
      <c r="K69" s="65">
        <f>'Page 1.4'!J64</f>
        <v>-10842470.677836999</v>
      </c>
      <c r="M69" s="65">
        <f>-(M39-(M66*Overall_ROR))/gross_up_factor</f>
        <v>37678114.714260496</v>
      </c>
      <c r="O69" s="65">
        <f>-(O39-(O66*Overall_ROR))/gross_up_factor</f>
        <v>29786938.014177263</v>
      </c>
      <c r="P69" s="256"/>
      <c r="Q69" s="264">
        <f>O69-'Check Sheet'!W9</f>
        <v>0.4088718369603157</v>
      </c>
    </row>
    <row r="70" spans="1:17" x14ac:dyDescent="0.2">
      <c r="A70" s="116">
        <v>61</v>
      </c>
      <c r="B70" s="116"/>
      <c r="C70" s="130"/>
      <c r="D70" s="117"/>
      <c r="E70" s="130"/>
      <c r="F70" s="130"/>
      <c r="G70" s="130"/>
      <c r="H70" s="130"/>
      <c r="I70" s="130"/>
      <c r="J70" s="130"/>
      <c r="K70" s="130"/>
      <c r="M70" s="130"/>
      <c r="Q70" s="264"/>
    </row>
    <row r="71" spans="1:17" ht="12.75" x14ac:dyDescent="0.2">
      <c r="A71" s="116">
        <v>62</v>
      </c>
      <c r="B71" s="116" t="s">
        <v>97</v>
      </c>
      <c r="C71" s="121"/>
      <c r="D71" s="117"/>
      <c r="E71" s="121"/>
      <c r="F71" s="121"/>
      <c r="G71" s="121"/>
      <c r="H71" s="121"/>
      <c r="I71" s="121"/>
      <c r="J71" s="121"/>
      <c r="K71" s="121"/>
      <c r="M71" s="121"/>
      <c r="P71" s="251"/>
      <c r="Q71" s="264"/>
    </row>
    <row r="72" spans="1:17" x14ac:dyDescent="0.2">
      <c r="A72" s="116">
        <v>63</v>
      </c>
      <c r="B72" s="116" t="s">
        <v>98</v>
      </c>
      <c r="C72" s="118">
        <f>Summary!B71</f>
        <v>76784147.468685314</v>
      </c>
      <c r="D72" s="118"/>
      <c r="E72" s="118">
        <f>'Page 1.4'!D67</f>
        <v>23376045.359228432</v>
      </c>
      <c r="F72" s="118">
        <f>'Page 1.4'!E67</f>
        <v>-3042433.7211758201</v>
      </c>
      <c r="G72" s="118">
        <f>'Page 1.4'!F67</f>
        <v>9314368.1293187346</v>
      </c>
      <c r="H72" s="118">
        <f>'Page 1.4'!G67</f>
        <v>-76002416.017428786</v>
      </c>
      <c r="I72" s="118">
        <f>'Page 1.4'!H67</f>
        <v>-2068677.6036546729</v>
      </c>
      <c r="J72" s="118">
        <f>'Page 1.4'!I67</f>
        <v>2536798.1274928409</v>
      </c>
      <c r="K72" s="118">
        <f>'Page 1.4'!J67</f>
        <v>7549984.6037521958</v>
      </c>
      <c r="M72" s="118">
        <f>SUM(E72:L72)</f>
        <v>-38336331.122467078</v>
      </c>
      <c r="O72" s="118">
        <f>+O15-O28-O29-O30-O31-O36</f>
        <v>38447816.346218199</v>
      </c>
      <c r="P72" s="251"/>
      <c r="Q72" s="264">
        <f>O72-'Check Sheet'!S70</f>
        <v>-0.39292062073945999</v>
      </c>
    </row>
    <row r="73" spans="1:17" x14ac:dyDescent="0.2">
      <c r="A73" s="116">
        <v>64</v>
      </c>
      <c r="B73" s="116" t="s">
        <v>99</v>
      </c>
      <c r="C73" s="118">
        <f>Summary!B72</f>
        <v>0</v>
      </c>
      <c r="D73" s="117"/>
      <c r="E73" s="118">
        <f>'Page 1.4'!D68</f>
        <v>0</v>
      </c>
      <c r="F73" s="118">
        <f>'Page 1.4'!E68</f>
        <v>0</v>
      </c>
      <c r="G73" s="118">
        <f>'Page 1.4'!F68</f>
        <v>0</v>
      </c>
      <c r="H73" s="118">
        <f>'Page 1.4'!G68</f>
        <v>0</v>
      </c>
      <c r="I73" s="118">
        <f>'Page 1.4'!H68</f>
        <v>0</v>
      </c>
      <c r="J73" s="118">
        <f>'Page 1.4'!I68</f>
        <v>0</v>
      </c>
      <c r="K73" s="118">
        <f>'Page 1.4'!J68</f>
        <v>0</v>
      </c>
      <c r="Q73" s="264"/>
    </row>
    <row r="74" spans="1:17" x14ac:dyDescent="0.2">
      <c r="A74" s="116">
        <v>65</v>
      </c>
      <c r="B74" s="116" t="s">
        <v>100</v>
      </c>
      <c r="C74" s="118">
        <f>Summary!B73</f>
        <v>-3011899.3628875981</v>
      </c>
      <c r="D74" s="117"/>
      <c r="E74" s="118">
        <f>'Page 1.4'!D69</f>
        <v>0</v>
      </c>
      <c r="F74" s="118">
        <f>'Page 1.4'!E69</f>
        <v>0</v>
      </c>
      <c r="G74" s="118">
        <f>'Page 1.4'!F69</f>
        <v>0</v>
      </c>
      <c r="H74" s="118">
        <f>'Page 1.4'!G69</f>
        <v>0</v>
      </c>
      <c r="I74" s="118">
        <f>'Page 1.4'!H69</f>
        <v>-4620.2408263712532</v>
      </c>
      <c r="J74" s="118">
        <f>'Page 1.4'!I69</f>
        <v>0</v>
      </c>
      <c r="K74" s="118">
        <f>'Page 1.4'!J69</f>
        <v>0</v>
      </c>
      <c r="M74" s="118">
        <f>SUM(E74:L74)</f>
        <v>-4620.2408263712532</v>
      </c>
      <c r="O74" s="118">
        <f>+C74+M74</f>
        <v>-3016519.6037139692</v>
      </c>
      <c r="P74" s="251"/>
      <c r="Q74" s="264">
        <f>O74-'Check Sheet'!S72</f>
        <v>0</v>
      </c>
    </row>
    <row r="75" spans="1:17" x14ac:dyDescent="0.2">
      <c r="A75" s="116">
        <v>66</v>
      </c>
      <c r="B75" s="116" t="s">
        <v>101</v>
      </c>
      <c r="C75" s="118">
        <f>Summary!B74</f>
        <v>22042470.758558765</v>
      </c>
      <c r="D75" s="117"/>
      <c r="E75" s="118">
        <f>'Page 1.4'!D70</f>
        <v>0</v>
      </c>
      <c r="F75" s="118">
        <f>'Page 1.4'!E70</f>
        <v>0</v>
      </c>
      <c r="G75" s="118">
        <f>'Page 1.4'!F70</f>
        <v>0</v>
      </c>
      <c r="H75" s="118">
        <f>'Page 1.4'!G70</f>
        <v>0</v>
      </c>
      <c r="I75" s="118">
        <f>'Page 1.4'!H70</f>
        <v>1670854.9220341332</v>
      </c>
      <c r="J75" s="118">
        <f>'Page 1.4'!I70</f>
        <v>0</v>
      </c>
      <c r="K75" s="118">
        <f>'Page 1.4'!J70</f>
        <v>0</v>
      </c>
      <c r="M75" s="118">
        <f>SUM(E75:L75)</f>
        <v>1670854.9220341332</v>
      </c>
      <c r="O75" s="118">
        <f>+C75+M75</f>
        <v>23713325.680592898</v>
      </c>
      <c r="P75" s="251"/>
      <c r="Q75" s="264">
        <f>O75-'Check Sheet'!S73</f>
        <v>-7.987096905708313E-4</v>
      </c>
    </row>
    <row r="76" spans="1:17" x14ac:dyDescent="0.2">
      <c r="A76" s="116">
        <v>67</v>
      </c>
      <c r="B76" s="131" t="s">
        <v>102</v>
      </c>
      <c r="C76" s="118">
        <f>Summary!B75</f>
        <v>91716240.228935182</v>
      </c>
      <c r="D76" s="120"/>
      <c r="E76" s="118">
        <f>'Page 1.4'!D71</f>
        <v>0</v>
      </c>
      <c r="F76" s="118">
        <f>'Page 1.4'!E71</f>
        <v>-133728.44429361407</v>
      </c>
      <c r="G76" s="118">
        <f>'Page 1.4'!F71</f>
        <v>-51450.415349426155</v>
      </c>
      <c r="H76" s="118">
        <f>'Page 1.4'!G71</f>
        <v>82753649.428063631</v>
      </c>
      <c r="I76" s="118">
        <f>'Page 1.4'!H71</f>
        <v>-16168841.656383418</v>
      </c>
      <c r="J76" s="118">
        <f>'Page 1.4'!I71</f>
        <v>16395097.915095218</v>
      </c>
      <c r="K76" s="118">
        <f>'Page 1.4'!J71</f>
        <v>1222073.8364296062</v>
      </c>
      <c r="M76" s="118">
        <f>SUM(E76:L76)</f>
        <v>84016800.663562</v>
      </c>
      <c r="O76" s="118">
        <f>+C76+M76</f>
        <v>175733040.89249718</v>
      </c>
      <c r="P76" s="251"/>
      <c r="Q76" s="264">
        <f>O76-'Check Sheet'!S74</f>
        <v>0</v>
      </c>
    </row>
    <row r="77" spans="1:17" x14ac:dyDescent="0.2">
      <c r="A77" s="116">
        <v>68</v>
      </c>
      <c r="B77" s="131" t="s">
        <v>103</v>
      </c>
      <c r="C77" s="118">
        <f>Summary!B76</f>
        <v>58295026.136140451</v>
      </c>
      <c r="D77" s="120"/>
      <c r="E77" s="118">
        <f>'Page 1.4'!D72</f>
        <v>0</v>
      </c>
      <c r="F77" s="118">
        <f>'Page 1.4'!E72</f>
        <v>-125695.50214021644</v>
      </c>
      <c r="G77" s="118">
        <f>'Page 1.4'!F72</f>
        <v>363284.68898450816</v>
      </c>
      <c r="H77" s="118">
        <f>'Page 1.4'!G72</f>
        <v>0</v>
      </c>
      <c r="I77" s="118">
        <f>'Page 1.4'!H72</f>
        <v>18519239.893237747</v>
      </c>
      <c r="J77" s="118">
        <f>'Page 1.4'!I72</f>
        <v>35419073.653727017</v>
      </c>
      <c r="K77" s="118">
        <f>'Page 1.4'!J72</f>
        <v>-645521.01114613097</v>
      </c>
      <c r="M77" s="132">
        <f>SUM(E77:L77)</f>
        <v>53530381.722662926</v>
      </c>
      <c r="O77" s="118">
        <f>+C77+M77</f>
        <v>111825407.85880338</v>
      </c>
      <c r="P77" s="251"/>
      <c r="Q77" s="264">
        <f>O77-'Check Sheet'!S75</f>
        <v>0</v>
      </c>
    </row>
    <row r="78" spans="1:17" x14ac:dyDescent="0.2">
      <c r="A78" s="116">
        <v>69</v>
      </c>
      <c r="B78" s="116" t="s">
        <v>104</v>
      </c>
      <c r="C78" s="145">
        <f>Summary!B77</f>
        <v>91174790.165808871</v>
      </c>
      <c r="D78" s="117"/>
      <c r="E78" s="145">
        <f>'Page 1.4'!D73</f>
        <v>23376045.359228432</v>
      </c>
      <c r="F78" s="145">
        <f>'Page 1.4'!E73</f>
        <v>-3050466.6633292176</v>
      </c>
      <c r="G78" s="145">
        <f>'Page 1.4'!F73</f>
        <v>8899633.0249848012</v>
      </c>
      <c r="H78" s="145">
        <f>'Page 1.4'!G73</f>
        <v>6751233.4106348455</v>
      </c>
      <c r="I78" s="145">
        <f>'Page 1.4'!H73</f>
        <v>-38422993.834483601</v>
      </c>
      <c r="J78" s="145">
        <f>'Page 1.4'!I73</f>
        <v>-16487177.611138958</v>
      </c>
      <c r="K78" s="145">
        <f>'Page 1.4'!J73</f>
        <v>9417579.4513279349</v>
      </c>
      <c r="M78" s="133">
        <f>SUM(E78:L78)</f>
        <v>-9516146.8627757616</v>
      </c>
      <c r="O78" s="124">
        <f>+C78+M78</f>
        <v>81658643.303033113</v>
      </c>
      <c r="P78" s="253"/>
      <c r="Q78" s="264">
        <f>O78-'Check Sheet'!S76</f>
        <v>-0.39212188124656677</v>
      </c>
    </row>
    <row r="79" spans="1:17" x14ac:dyDescent="0.2">
      <c r="A79" s="116">
        <v>70</v>
      </c>
      <c r="B79" s="116"/>
      <c r="C79" s="134"/>
      <c r="D79" s="117"/>
      <c r="E79" s="134"/>
      <c r="F79" s="134"/>
      <c r="G79" s="134"/>
      <c r="H79" s="134"/>
      <c r="I79" s="134"/>
      <c r="J79" s="134"/>
      <c r="K79" s="134"/>
      <c r="M79" s="134"/>
      <c r="Q79" s="264"/>
    </row>
    <row r="80" spans="1:17" x14ac:dyDescent="0.2">
      <c r="A80" s="116">
        <v>71</v>
      </c>
      <c r="B80" s="116" t="s">
        <v>105</v>
      </c>
      <c r="C80" s="118">
        <v>0</v>
      </c>
      <c r="D80" s="120"/>
      <c r="E80" s="118">
        <f>'Page 1.4'!D75</f>
        <v>0</v>
      </c>
      <c r="F80" s="118">
        <f>'Page 1.4'!E75</f>
        <v>0</v>
      </c>
      <c r="G80" s="118">
        <f>'Page 1.4'!F75</f>
        <v>0</v>
      </c>
      <c r="H80" s="118">
        <f>'Page 1.4'!G75</f>
        <v>0</v>
      </c>
      <c r="I80" s="118">
        <f>'Page 1.4'!H75</f>
        <v>0</v>
      </c>
      <c r="J80" s="118">
        <f>'Page 1.4'!I75</f>
        <v>0</v>
      </c>
      <c r="K80" s="118">
        <f>'Page 1.4'!J75</f>
        <v>0</v>
      </c>
      <c r="M80" s="118">
        <f>SUM(E80:L80)</f>
        <v>0</v>
      </c>
      <c r="O80" s="135">
        <f>+C80+M80</f>
        <v>0</v>
      </c>
      <c r="P80" s="253"/>
      <c r="Q80" s="264">
        <f>O80-'Check Sheet'!S78</f>
        <v>0</v>
      </c>
    </row>
    <row r="81" spans="1:17" ht="12" thickBot="1" x14ac:dyDescent="0.25">
      <c r="A81" s="116">
        <v>72</v>
      </c>
      <c r="B81" s="116" t="s">
        <v>106</v>
      </c>
      <c r="C81" s="136">
        <f>Summary!B80</f>
        <v>91174790.165808871</v>
      </c>
      <c r="D81" s="120"/>
      <c r="E81" s="136">
        <f>'Page 1.4'!D76</f>
        <v>23376045.359228432</v>
      </c>
      <c r="F81" s="136">
        <f>'Page 1.4'!E76</f>
        <v>-3050466.6633292176</v>
      </c>
      <c r="G81" s="136">
        <f>'Page 1.4'!F76</f>
        <v>8899633.0249848012</v>
      </c>
      <c r="H81" s="136">
        <f>'Page 1.4'!G76</f>
        <v>6751233.4106348455</v>
      </c>
      <c r="I81" s="136">
        <f>'Page 1.4'!H76</f>
        <v>-38422993.834483601</v>
      </c>
      <c r="J81" s="136">
        <f>'Page 1.4'!I76</f>
        <v>-16487177.611138958</v>
      </c>
      <c r="K81" s="136">
        <f>'Page 1.4'!J76</f>
        <v>9417579.4513279349</v>
      </c>
      <c r="L81" s="137"/>
      <c r="M81" s="136">
        <f>SUM(E81:L81)</f>
        <v>-9516146.8627757616</v>
      </c>
      <c r="O81" s="138">
        <f>+C81+M81</f>
        <v>81658643.303033113</v>
      </c>
      <c r="P81" s="253"/>
      <c r="Q81" s="264">
        <f>O81-'Check Sheet'!S79</f>
        <v>-0.39212188124656677</v>
      </c>
    </row>
    <row r="82" spans="1:17" ht="13.5" thickTop="1" x14ac:dyDescent="0.2">
      <c r="A82" s="116">
        <v>73</v>
      </c>
      <c r="B82" s="116"/>
      <c r="C82" s="121"/>
      <c r="D82" s="117"/>
      <c r="E82" s="121"/>
      <c r="F82" s="121"/>
      <c r="G82" s="121"/>
      <c r="H82" s="121"/>
      <c r="I82" s="121"/>
      <c r="J82" s="121"/>
      <c r="K82" s="121"/>
      <c r="M82" s="121"/>
      <c r="Q82" s="264"/>
    </row>
    <row r="83" spans="1:17" ht="12" thickBot="1" x14ac:dyDescent="0.25">
      <c r="A83" s="116">
        <v>74</v>
      </c>
      <c r="B83" s="131" t="s">
        <v>204</v>
      </c>
      <c r="C83" s="136">
        <f>Summary!B84</f>
        <v>18041169.881600775</v>
      </c>
      <c r="D83" s="120"/>
      <c r="E83" s="136">
        <f>'Page 1.4'!D80</f>
        <v>4908969.5254379706</v>
      </c>
      <c r="F83" s="136">
        <f>'Page 1.4'!E80</f>
        <v>-640597.99929913564</v>
      </c>
      <c r="G83" s="136">
        <f>'Page 1.4'!F80</f>
        <v>1868922.9352468082</v>
      </c>
      <c r="H83" s="136">
        <f>'Page 1.4'!G80</f>
        <v>1417759.0162333176</v>
      </c>
      <c r="I83" s="136">
        <f>'Page 1.4'!H80</f>
        <v>-22077623.369476851</v>
      </c>
      <c r="J83" s="136">
        <f>'Page 1.4'!I80</f>
        <v>-3462307.2983391811</v>
      </c>
      <c r="K83" s="136">
        <f>'Page 1.4'!J80</f>
        <v>1977691.6847788664</v>
      </c>
      <c r="M83" s="136">
        <f>SUM(E83:L83)</f>
        <v>-16007185.505418207</v>
      </c>
      <c r="O83" s="136">
        <f>+C83+M83</f>
        <v>2033984.3761825673</v>
      </c>
      <c r="P83" s="251"/>
      <c r="Q83" s="264">
        <f>O83-'Check Sheet'!S83</f>
        <v>-8.2345601171255112E-2</v>
      </c>
    </row>
    <row r="84" spans="1:17" ht="12" thickTop="1" x14ac:dyDescent="0.2"/>
    <row r="85" spans="1:17" x14ac:dyDescent="0.2">
      <c r="O85" s="118"/>
    </row>
  </sheetData>
  <mergeCells count="2">
    <mergeCell ref="A2:B2"/>
    <mergeCell ref="A3:C3"/>
  </mergeCells>
  <pageMargins left="0.7" right="0.7" top="0.75" bottom="0.75" header="0.3" footer="0.3"/>
  <pageSetup scale="64" firstPageNumber="2" fitToWidth="0" orientation="portrait" useFirstPageNumber="1" r:id="rId1"/>
  <headerFooter>
    <oddHeader>&amp;RExhibit No. SEM-7
Page &amp;P of 3</oddHeader>
  </headerFooter>
  <colBreaks count="1" manualBreakCount="1">
    <brk id="11" max="1048575" man="1"/>
  </colBreaks>
  <customProperties>
    <customPr name="_pios_id" r:id="rId2"/>
  </customProperties>
  <ignoredErrors>
    <ignoredError sqref="M28 O2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M81"/>
  <sheetViews>
    <sheetView view="pageBreakPreview" zoomScale="80" zoomScaleNormal="100" zoomScaleSheetLayoutView="80" workbookViewId="0"/>
  </sheetViews>
  <sheetFormatPr defaultRowHeight="12.75" x14ac:dyDescent="0.2"/>
  <cols>
    <col min="1" max="1" width="5.140625" style="194" customWidth="1"/>
    <col min="2" max="2" width="25.140625" style="194" bestFit="1" customWidth="1"/>
    <col min="3" max="3" width="13.42578125" style="194" bestFit="1" customWidth="1"/>
    <col min="4" max="6" width="12.7109375" style="194" customWidth="1"/>
    <col min="7" max="7" width="14.28515625" style="194" bestFit="1" customWidth="1"/>
    <col min="8" max="8" width="12.7109375" style="194" customWidth="1"/>
    <col min="9" max="9" width="13.42578125" style="194" bestFit="1" customWidth="1"/>
    <col min="10" max="10" width="12.7109375" style="194" customWidth="1"/>
    <col min="11" max="12" width="9.140625" style="194"/>
    <col min="13" max="13" width="20.5703125" style="194" bestFit="1" customWidth="1"/>
    <col min="14" max="16384" width="9.140625" style="194"/>
  </cols>
  <sheetData>
    <row r="1" spans="1:10" x14ac:dyDescent="0.2">
      <c r="B1" s="289" t="s">
        <v>184</v>
      </c>
      <c r="C1" s="289"/>
      <c r="D1" s="289"/>
      <c r="E1" s="289"/>
      <c r="F1" s="289"/>
      <c r="G1" s="289"/>
      <c r="H1" s="289"/>
      <c r="I1" s="289"/>
      <c r="J1" s="64"/>
    </row>
    <row r="3" spans="1:10" ht="51" x14ac:dyDescent="0.2">
      <c r="C3" s="195" t="s">
        <v>158</v>
      </c>
      <c r="D3" s="195" t="s">
        <v>167</v>
      </c>
      <c r="E3" s="195" t="s">
        <v>168</v>
      </c>
      <c r="F3" s="195" t="s">
        <v>169</v>
      </c>
      <c r="G3" s="195" t="s">
        <v>170</v>
      </c>
      <c r="H3" s="195" t="s">
        <v>171</v>
      </c>
      <c r="I3" s="195" t="s">
        <v>249</v>
      </c>
      <c r="J3" s="195" t="s">
        <v>314</v>
      </c>
    </row>
    <row r="5" spans="1:10" x14ac:dyDescent="0.2">
      <c r="A5" s="196">
        <v>1</v>
      </c>
      <c r="B5" s="196" t="s">
        <v>45</v>
      </c>
    </row>
    <row r="6" spans="1:10" x14ac:dyDescent="0.2">
      <c r="A6" s="196">
        <v>2</v>
      </c>
      <c r="B6" s="196" t="s">
        <v>46</v>
      </c>
      <c r="C6" s="197">
        <f>SUM(D6:J6)</f>
        <v>40023309.380773388</v>
      </c>
      <c r="D6" s="197">
        <f>'Page 1.5'!D6+'Page 1.6'!D6</f>
        <v>22857401.870773375</v>
      </c>
      <c r="E6" s="197">
        <f>'Page 1.5'!E6+'Page 1.6'!E6</f>
        <v>-252203.73</v>
      </c>
      <c r="F6" s="197">
        <f>'Page 1.5'!F6+'Page 1.6'!F6</f>
        <v>0</v>
      </c>
      <c r="G6" s="197">
        <f>'Page 1.5'!G6+'Page 1.6'!G6</f>
        <v>0</v>
      </c>
      <c r="H6" s="197">
        <f>'Page 1.5'!H6+'Page 1.6'!H6</f>
        <v>0</v>
      </c>
      <c r="I6" s="197">
        <f>'Page 1.5'!I6+'Page 1.6'!I6</f>
        <v>17418111.240000013</v>
      </c>
      <c r="J6" s="197">
        <f>'Page 1.5'!J6+'Page 1.6'!J6</f>
        <v>0</v>
      </c>
    </row>
    <row r="7" spans="1:10" x14ac:dyDescent="0.2">
      <c r="A7" s="196">
        <v>3</v>
      </c>
      <c r="B7" s="196" t="s">
        <v>47</v>
      </c>
      <c r="C7" s="197">
        <f>SUM(D7:J7)</f>
        <v>0</v>
      </c>
      <c r="D7" s="197">
        <f>'Page 1.5'!D7+'Page 1.6'!D7</f>
        <v>0</v>
      </c>
      <c r="E7" s="197">
        <f>'Page 1.5'!E7+'Page 1.6'!E7</f>
        <v>0</v>
      </c>
      <c r="F7" s="197">
        <f>'Page 1.5'!F7+'Page 1.6'!F7</f>
        <v>0</v>
      </c>
      <c r="G7" s="197">
        <f>'Page 1.5'!G7+'Page 1.6'!G7</f>
        <v>0</v>
      </c>
      <c r="H7" s="197">
        <f>'Page 1.5'!H7+'Page 1.6'!H7</f>
        <v>0</v>
      </c>
      <c r="I7" s="197">
        <f>'Page 1.5'!I7+'Page 1.6'!I7</f>
        <v>0</v>
      </c>
      <c r="J7" s="197">
        <f>'Page 1.5'!J7+'Page 1.6'!J7</f>
        <v>0</v>
      </c>
    </row>
    <row r="8" spans="1:10" x14ac:dyDescent="0.2">
      <c r="A8" s="196">
        <v>4</v>
      </c>
      <c r="B8" s="196" t="s">
        <v>48</v>
      </c>
      <c r="C8" s="197">
        <f>SUM(D8:J8)</f>
        <v>-14866338.791918496</v>
      </c>
      <c r="D8" s="197">
        <f>'Page 1.5'!D8+'Page 1.6'!D8</f>
        <v>0</v>
      </c>
      <c r="E8" s="197">
        <f>'Page 1.5'!E8+'Page 1.6'!E8</f>
        <v>0</v>
      </c>
      <c r="F8" s="197">
        <f>'Page 1.5'!F8+'Page 1.6'!F8</f>
        <v>-14800952.647608532</v>
      </c>
      <c r="G8" s="197">
        <f>'Page 1.5'!G8+'Page 1.6'!G8</f>
        <v>0</v>
      </c>
      <c r="H8" s="197">
        <f>'Page 1.5'!H8+'Page 1.6'!H8</f>
        <v>0</v>
      </c>
      <c r="I8" s="197">
        <f>'Page 1.5'!I8+'Page 1.6'!I8</f>
        <v>0</v>
      </c>
      <c r="J8" s="197">
        <f>'Page 1.5'!J8+'Page 1.6'!J8</f>
        <v>-65386.144309964031</v>
      </c>
    </row>
    <row r="9" spans="1:10" x14ac:dyDescent="0.2">
      <c r="A9" s="196">
        <v>5</v>
      </c>
      <c r="B9" s="196" t="s">
        <v>49</v>
      </c>
      <c r="C9" s="197">
        <f>SUM(D9:J9)</f>
        <v>1162274.9332294113</v>
      </c>
      <c r="D9" s="197">
        <f>'Page 1.5'!D9+'Page 1.6'!D9</f>
        <v>518643.48845505848</v>
      </c>
      <c r="E9" s="197">
        <f>'Page 1.5'!E9+'Page 1.6'!E9</f>
        <v>-427912.20158807386</v>
      </c>
      <c r="F9" s="197">
        <f>'Page 1.5'!F9+'Page 1.6'!F9</f>
        <v>0</v>
      </c>
      <c r="G9" s="197">
        <f>'Page 1.5'!G9+'Page 1.6'!G9</f>
        <v>0</v>
      </c>
      <c r="H9" s="197">
        <f>'Page 1.5'!H9+'Page 1.6'!H9</f>
        <v>0</v>
      </c>
      <c r="I9" s="197">
        <f>'Page 1.5'!I9+'Page 1.6'!I9</f>
        <v>47809.260000000009</v>
      </c>
      <c r="J9" s="197">
        <f>'Page 1.5'!J9+'Page 1.6'!J9</f>
        <v>1023734.3863624266</v>
      </c>
    </row>
    <row r="10" spans="1:10" x14ac:dyDescent="0.2">
      <c r="A10" s="196">
        <v>6</v>
      </c>
      <c r="B10" s="196" t="s">
        <v>50</v>
      </c>
      <c r="C10" s="198">
        <f>SUM(C6:C9)</f>
        <v>26319245.522084307</v>
      </c>
      <c r="D10" s="198">
        <f t="shared" ref="D10:I10" si="0">SUM(D6:D9)</f>
        <v>23376045.359228432</v>
      </c>
      <c r="E10" s="198">
        <f t="shared" si="0"/>
        <v>-680115.93158807384</v>
      </c>
      <c r="F10" s="198">
        <f t="shared" si="0"/>
        <v>-14800952.647608532</v>
      </c>
      <c r="G10" s="198">
        <f t="shared" si="0"/>
        <v>0</v>
      </c>
      <c r="H10" s="198">
        <f t="shared" si="0"/>
        <v>0</v>
      </c>
      <c r="I10" s="198">
        <f t="shared" si="0"/>
        <v>17465920.500000015</v>
      </c>
      <c r="J10" s="198">
        <f t="shared" ref="J10" si="1">SUM(J6:J9)</f>
        <v>958348.24205246253</v>
      </c>
    </row>
    <row r="11" spans="1:10" x14ac:dyDescent="0.2">
      <c r="A11" s="196">
        <v>7</v>
      </c>
      <c r="B11" s="196"/>
    </row>
    <row r="12" spans="1:10" x14ac:dyDescent="0.2">
      <c r="A12" s="196">
        <v>8</v>
      </c>
      <c r="B12" s="196" t="s">
        <v>51</v>
      </c>
    </row>
    <row r="13" spans="1:10" x14ac:dyDescent="0.2">
      <c r="A13" s="196">
        <v>9</v>
      </c>
      <c r="B13" s="196" t="s">
        <v>52</v>
      </c>
      <c r="C13" s="197">
        <f t="shared" ref="C13:C22" si="2">SUM(D13:J13)</f>
        <v>2924559.8280816525</v>
      </c>
      <c r="D13" s="197">
        <f>'Page 1.5'!D13+'Page 1.6'!D13</f>
        <v>0</v>
      </c>
      <c r="E13" s="197">
        <f>'Page 1.5'!E13+'Page 1.6'!E13</f>
        <v>252912.35782985672</v>
      </c>
      <c r="F13" s="197">
        <f>'Page 1.5'!F13+'Page 1.6'!F13</f>
        <v>-5348848.3575730259</v>
      </c>
      <c r="G13" s="197">
        <f>'Page 1.5'!G13+'Page 1.6'!G13</f>
        <v>51760.195371981739</v>
      </c>
      <c r="H13" s="197">
        <f>'Page 1.5'!H13+'Page 1.6'!H13</f>
        <v>0</v>
      </c>
      <c r="I13" s="197">
        <f>'Page 1.5'!I13+'Page 1.6'!I13</f>
        <v>8498026.3756711129</v>
      </c>
      <c r="J13" s="197">
        <f>'Page 1.5'!J13+'Page 1.6'!J13</f>
        <v>-529290.74321827292</v>
      </c>
    </row>
    <row r="14" spans="1:10" x14ac:dyDescent="0.2">
      <c r="A14" s="196">
        <v>10</v>
      </c>
      <c r="B14" s="196" t="s">
        <v>53</v>
      </c>
      <c r="C14" s="197">
        <f t="shared" si="2"/>
        <v>0</v>
      </c>
      <c r="D14" s="197">
        <f>'Page 1.5'!D14+'Page 1.6'!D14</f>
        <v>0</v>
      </c>
      <c r="E14" s="197">
        <f>'Page 1.5'!E14+'Page 1.6'!E14</f>
        <v>0</v>
      </c>
      <c r="F14" s="197">
        <f>'Page 1.5'!F14+'Page 1.6'!F14</f>
        <v>0</v>
      </c>
      <c r="G14" s="197">
        <f>'Page 1.5'!G14+'Page 1.6'!G14</f>
        <v>0</v>
      </c>
      <c r="H14" s="197">
        <f>'Page 1.5'!H14+'Page 1.6'!H14</f>
        <v>0</v>
      </c>
      <c r="I14" s="197">
        <f>'Page 1.5'!I14+'Page 1.6'!I14</f>
        <v>0</v>
      </c>
      <c r="J14" s="197">
        <f>'Page 1.5'!J14+'Page 1.6'!J14</f>
        <v>0</v>
      </c>
    </row>
    <row r="15" spans="1:10" x14ac:dyDescent="0.2">
      <c r="A15" s="196">
        <v>11</v>
      </c>
      <c r="B15" s="196" t="s">
        <v>54</v>
      </c>
      <c r="C15" s="197">
        <f t="shared" si="2"/>
        <v>-3434664.2402629922</v>
      </c>
      <c r="D15" s="197">
        <f>'Page 1.5'!D15+'Page 1.6'!D15</f>
        <v>0</v>
      </c>
      <c r="E15" s="197">
        <f>'Page 1.5'!E15+'Page 1.6'!E15</f>
        <v>162287.63932202672</v>
      </c>
      <c r="F15" s="197">
        <f>'Page 1.5'!F15+'Page 1.6'!F15</f>
        <v>0</v>
      </c>
      <c r="G15" s="197">
        <f>'Page 1.5'!G15+'Page 1.6'!G15</f>
        <v>17854.508316736094</v>
      </c>
      <c r="H15" s="197">
        <f>'Page 1.5'!H15+'Page 1.6'!H15</f>
        <v>0</v>
      </c>
      <c r="I15" s="197">
        <f>'Page 1.5'!I15+'Page 1.6'!I15</f>
        <v>0</v>
      </c>
      <c r="J15" s="197">
        <f>'Page 1.5'!J15+'Page 1.6'!J15</f>
        <v>-3614806.387901755</v>
      </c>
    </row>
    <row r="16" spans="1:10" x14ac:dyDescent="0.2">
      <c r="A16" s="196">
        <v>12</v>
      </c>
      <c r="B16" s="196" t="s">
        <v>55</v>
      </c>
      <c r="C16" s="197">
        <f t="shared" si="2"/>
        <v>-1784401.0998346151</v>
      </c>
      <c r="D16" s="197">
        <f>'Page 1.5'!D16+'Page 1.6'!D16</f>
        <v>0</v>
      </c>
      <c r="E16" s="197">
        <f>'Page 1.5'!E16+'Page 1.6'!E16</f>
        <v>294554.31401885068</v>
      </c>
      <c r="F16" s="197">
        <f>'Page 1.5'!F16+'Page 1.6'!F16</f>
        <v>-2708426.5477515389</v>
      </c>
      <c r="G16" s="197">
        <f>'Page 1.5'!G16+'Page 1.6'!G16</f>
        <v>15623.621030583408</v>
      </c>
      <c r="H16" s="197">
        <f>'Page 1.5'!H16+'Page 1.6'!H16</f>
        <v>0</v>
      </c>
      <c r="I16" s="197">
        <f>'Page 1.5'!I16+'Page 1.6'!I16</f>
        <v>1657310.668266339</v>
      </c>
      <c r="J16" s="197">
        <f>'Page 1.5'!J16+'Page 1.6'!J16</f>
        <v>-1043463.1553988494</v>
      </c>
    </row>
    <row r="17" spans="1:10" x14ac:dyDescent="0.2">
      <c r="A17" s="196">
        <v>13</v>
      </c>
      <c r="B17" s="196" t="s">
        <v>56</v>
      </c>
      <c r="C17" s="197">
        <f t="shared" si="2"/>
        <v>-16375728.134629149</v>
      </c>
      <c r="D17" s="197">
        <f>'Page 1.5'!D17+'Page 1.6'!D17</f>
        <v>0</v>
      </c>
      <c r="E17" s="197">
        <f>'Page 1.5'!E17+'Page 1.6'!E17</f>
        <v>-211865.07845120516</v>
      </c>
      <c r="F17" s="197">
        <f>'Page 1.5'!F17+'Page 1.6'!F17</f>
        <v>-16017299.646470467</v>
      </c>
      <c r="G17" s="197">
        <f>'Page 1.5'!G17+'Page 1.6'!G17</f>
        <v>9961.9123770073802</v>
      </c>
      <c r="H17" s="197">
        <f>'Page 1.5'!H17+'Page 1.6'!H17</f>
        <v>0</v>
      </c>
      <c r="I17" s="197">
        <f>'Page 1.5'!I17+'Page 1.6'!I17</f>
        <v>0</v>
      </c>
      <c r="J17" s="197">
        <f>'Page 1.5'!J17+'Page 1.6'!J17</f>
        <v>-156525.32208448392</v>
      </c>
    </row>
    <row r="18" spans="1:10" x14ac:dyDescent="0.2">
      <c r="A18" s="196">
        <v>14</v>
      </c>
      <c r="B18" s="196" t="s">
        <v>57</v>
      </c>
      <c r="C18" s="197">
        <f t="shared" si="2"/>
        <v>613172.00080135209</v>
      </c>
      <c r="D18" s="197">
        <f>'Page 1.5'!D18+'Page 1.6'!D18</f>
        <v>0</v>
      </c>
      <c r="E18" s="197">
        <f>'Page 1.5'!E18+'Page 1.6'!E18</f>
        <v>579266.54530209105</v>
      </c>
      <c r="F18" s="197">
        <f>'Page 1.5'!F18+'Page 1.6'!F18</f>
        <v>0</v>
      </c>
      <c r="G18" s="197">
        <f>'Page 1.5'!G18+'Page 1.6'!G18</f>
        <v>33905.455499260992</v>
      </c>
      <c r="H18" s="197">
        <f>'Page 1.5'!H18+'Page 1.6'!H18</f>
        <v>0</v>
      </c>
      <c r="I18" s="197">
        <f>'Page 1.5'!I18+'Page 1.6'!I18</f>
        <v>0</v>
      </c>
      <c r="J18" s="197">
        <f>'Page 1.5'!J18+'Page 1.6'!J18</f>
        <v>0</v>
      </c>
    </row>
    <row r="19" spans="1:10" x14ac:dyDescent="0.2">
      <c r="A19" s="196">
        <v>15</v>
      </c>
      <c r="B19" s="196" t="s">
        <v>58</v>
      </c>
      <c r="C19" s="197">
        <f t="shared" si="2"/>
        <v>1121088.2974481627</v>
      </c>
      <c r="D19" s="197">
        <f>'Page 1.5'!D19+'Page 1.6'!D19</f>
        <v>0</v>
      </c>
      <c r="E19" s="197">
        <f>'Page 1.5'!E19+'Page 1.6'!E19</f>
        <v>1108766.9445375141</v>
      </c>
      <c r="F19" s="197">
        <f>'Page 1.5'!F19+'Page 1.6'!F19</f>
        <v>0</v>
      </c>
      <c r="G19" s="197">
        <f>'Page 1.5'!G19+'Page 1.6'!G19</f>
        <v>12321.352910648453</v>
      </c>
      <c r="H19" s="197">
        <f>'Page 1.5'!H19+'Page 1.6'!H19</f>
        <v>0</v>
      </c>
      <c r="I19" s="197">
        <f>'Page 1.5'!I19+'Page 1.6'!I19</f>
        <v>0</v>
      </c>
      <c r="J19" s="197">
        <f>'Page 1.5'!J19+'Page 1.6'!J19</f>
        <v>0</v>
      </c>
    </row>
    <row r="20" spans="1:10" x14ac:dyDescent="0.2">
      <c r="A20" s="196">
        <v>16</v>
      </c>
      <c r="B20" s="196" t="s">
        <v>59</v>
      </c>
      <c r="C20" s="197">
        <f t="shared" si="2"/>
        <v>34279.345589528573</v>
      </c>
      <c r="D20" s="197">
        <f>'Page 1.5'!D20+'Page 1.6'!D20</f>
        <v>0</v>
      </c>
      <c r="E20" s="197">
        <f>'Page 1.5'!E20+'Page 1.6'!E20</f>
        <v>31872.059269140238</v>
      </c>
      <c r="F20" s="197">
        <f>'Page 1.5'!F20+'Page 1.6'!F20</f>
        <v>0</v>
      </c>
      <c r="G20" s="197">
        <f>'Page 1.5'!G20+'Page 1.6'!G20</f>
        <v>2407.286320388333</v>
      </c>
      <c r="H20" s="197">
        <f>'Page 1.5'!H20+'Page 1.6'!H20</f>
        <v>0</v>
      </c>
      <c r="I20" s="197">
        <f>'Page 1.5'!I20+'Page 1.6'!I20</f>
        <v>0</v>
      </c>
      <c r="J20" s="197">
        <f>'Page 1.5'!J20+'Page 1.6'!J20</f>
        <v>0</v>
      </c>
    </row>
    <row r="21" spans="1:10" x14ac:dyDescent="0.2">
      <c r="A21" s="196">
        <v>17</v>
      </c>
      <c r="B21" s="196" t="s">
        <v>60</v>
      </c>
      <c r="C21" s="197">
        <f t="shared" si="2"/>
        <v>0</v>
      </c>
      <c r="D21" s="197">
        <f>'Page 1.5'!D21+'Page 1.6'!D21</f>
        <v>0</v>
      </c>
      <c r="E21" s="197">
        <f>'Page 1.5'!E21+'Page 1.6'!E21</f>
        <v>0</v>
      </c>
      <c r="F21" s="197">
        <f>'Page 1.5'!F21+'Page 1.6'!F21</f>
        <v>0</v>
      </c>
      <c r="G21" s="197">
        <f>'Page 1.5'!G21+'Page 1.6'!G21</f>
        <v>0</v>
      </c>
      <c r="H21" s="197">
        <f>'Page 1.5'!H21+'Page 1.6'!H21</f>
        <v>0</v>
      </c>
      <c r="I21" s="197">
        <f>'Page 1.5'!I21+'Page 1.6'!I21</f>
        <v>0</v>
      </c>
      <c r="J21" s="197">
        <f>'Page 1.5'!J21+'Page 1.6'!J21</f>
        <v>0</v>
      </c>
    </row>
    <row r="22" spans="1:10" x14ac:dyDescent="0.2">
      <c r="A22" s="196">
        <v>18</v>
      </c>
      <c r="B22" s="196" t="s">
        <v>61</v>
      </c>
      <c r="C22" s="199">
        <f t="shared" si="2"/>
        <v>374583.8368766596</v>
      </c>
      <c r="D22" s="199">
        <f>'Page 1.5'!D22+'Page 1.6'!D22</f>
        <v>0</v>
      </c>
      <c r="E22" s="199">
        <f>'Page 1.5'!E22+'Page 1.6'!E22</f>
        <v>364522.55815997685</v>
      </c>
      <c r="F22" s="199">
        <f>'Page 1.5'!F22+'Page 1.6'!F22</f>
        <v>-4014.8687836292347</v>
      </c>
      <c r="G22" s="199">
        <f>'Page 1.5'!G22+'Page 1.6'!G22</f>
        <v>14076.147500311941</v>
      </c>
      <c r="H22" s="199">
        <f>'Page 1.5'!H22+'Page 1.6'!H22</f>
        <v>0</v>
      </c>
      <c r="I22" s="199">
        <f>'Page 1.5'!I22+'Page 1.6'!I22</f>
        <v>0</v>
      </c>
      <c r="J22" s="199">
        <f>'Page 1.5'!J22+'Page 1.6'!J22</f>
        <v>0</v>
      </c>
    </row>
    <row r="23" spans="1:10" x14ac:dyDescent="0.2">
      <c r="A23" s="196">
        <v>19</v>
      </c>
      <c r="B23" s="196" t="s">
        <v>62</v>
      </c>
      <c r="C23" s="200">
        <f>SUM(C13:C22)</f>
        <v>-16527110.165929401</v>
      </c>
      <c r="D23" s="200">
        <f t="shared" ref="D23:I23" si="3">SUM(D13:D22)</f>
        <v>0</v>
      </c>
      <c r="E23" s="200">
        <f t="shared" si="3"/>
        <v>2582317.3399882512</v>
      </c>
      <c r="F23" s="200">
        <f t="shared" si="3"/>
        <v>-24078589.420578662</v>
      </c>
      <c r="G23" s="200">
        <f t="shared" si="3"/>
        <v>157910.47932691837</v>
      </c>
      <c r="H23" s="200">
        <f t="shared" si="3"/>
        <v>0</v>
      </c>
      <c r="I23" s="200">
        <f t="shared" si="3"/>
        <v>10155337.043937452</v>
      </c>
      <c r="J23" s="200">
        <f t="shared" ref="J23" si="4">SUM(J13:J22)</f>
        <v>-5344085.6086033611</v>
      </c>
    </row>
    <row r="24" spans="1:10" x14ac:dyDescent="0.2">
      <c r="A24" s="196">
        <v>20</v>
      </c>
      <c r="B24" s="196" t="s">
        <v>63</v>
      </c>
      <c r="C24" s="197">
        <f>SUM(D24:J24)</f>
        <v>75986475.357389167</v>
      </c>
      <c r="D24" s="197">
        <f>'Page 1.5'!D24+'Page 1.6'!D24</f>
        <v>0</v>
      </c>
      <c r="E24" s="197">
        <f>'Page 1.5'!E24+'Page 1.6'!E24</f>
        <v>-485148.8497193756</v>
      </c>
      <c r="F24" s="197">
        <f>'Page 1.5'!F24+'Page 1.6'!F24</f>
        <v>0</v>
      </c>
      <c r="G24" s="197">
        <f>'Page 1.5'!G24+'Page 1.6'!G24</f>
        <v>77715142.588273495</v>
      </c>
      <c r="H24" s="197">
        <f>'Page 1.5'!H24+'Page 1.6'!H24</f>
        <v>0</v>
      </c>
      <c r="I24" s="197">
        <f>'Page 1.5'!I24+'Page 1.6'!I24</f>
        <v>-378804.47238388716</v>
      </c>
      <c r="J24" s="197">
        <f>'Page 1.5'!J24+'Page 1.6'!J24</f>
        <v>-864713.90878106561</v>
      </c>
    </row>
    <row r="25" spans="1:10" x14ac:dyDescent="0.2">
      <c r="A25" s="196">
        <v>21</v>
      </c>
      <c r="B25" s="196" t="s">
        <v>64</v>
      </c>
      <c r="C25" s="197">
        <f>SUM(D25:J25)</f>
        <v>2839433.8911172515</v>
      </c>
      <c r="D25" s="197">
        <f>'Page 1.5'!D25+'Page 1.6'!D25</f>
        <v>0</v>
      </c>
      <c r="E25" s="197">
        <f>'Page 1.5'!E25+'Page 1.6'!E25</f>
        <v>0</v>
      </c>
      <c r="F25" s="197">
        <f>'Page 1.5'!F25+'Page 1.6'!F25</f>
        <v>737.58465057384717</v>
      </c>
      <c r="G25" s="197">
        <f>'Page 1.5'!G25+'Page 1.6'!G25</f>
        <v>-1870637.0501716251</v>
      </c>
      <c r="H25" s="197">
        <f>'Page 1.5'!H25+'Page 1.6'!H25</f>
        <v>0</v>
      </c>
      <c r="I25" s="197">
        <f>'Page 1.5'!I25+'Page 1.6'!I25</f>
        <v>5092170.2009536093</v>
      </c>
      <c r="J25" s="197">
        <f>'Page 1.5'!J25+'Page 1.6'!J25</f>
        <v>-382836.84431530652</v>
      </c>
    </row>
    <row r="26" spans="1:10" x14ac:dyDescent="0.2">
      <c r="A26" s="196">
        <v>22</v>
      </c>
      <c r="B26" s="196" t="s">
        <v>65</v>
      </c>
      <c r="C26" s="197">
        <f>SUM(D26:J26)</f>
        <v>2031208.6626554939</v>
      </c>
      <c r="D26" s="197">
        <f>'Page 1.5'!D26+'Page 1.6'!D26</f>
        <v>0</v>
      </c>
      <c r="E26" s="197">
        <f>'Page 1.5'!E26+'Page 1.6'!E26</f>
        <v>0</v>
      </c>
      <c r="F26" s="197">
        <f>'Page 1.5'!F26+'Page 1.6'!F26</f>
        <v>-37468.940999178878</v>
      </c>
      <c r="G26" s="197">
        <f>'Page 1.5'!G26+'Page 1.6'!G26</f>
        <v>0</v>
      </c>
      <c r="H26" s="197">
        <f>'Page 1.5'!H26+'Page 1.6'!H26</f>
        <v>2068677.6036546729</v>
      </c>
      <c r="I26" s="197">
        <f>'Page 1.5'!I26+'Page 1.6'!I26</f>
        <v>0</v>
      </c>
      <c r="J26" s="197">
        <f>'Page 1.5'!J26+'Page 1.6'!J26</f>
        <v>0</v>
      </c>
    </row>
    <row r="27" spans="1:10" x14ac:dyDescent="0.2">
      <c r="A27" s="196">
        <v>23</v>
      </c>
      <c r="B27" s="196" t="s">
        <v>159</v>
      </c>
      <c r="C27" s="197">
        <f>C80</f>
        <v>-16007185.505418207</v>
      </c>
      <c r="D27" s="197">
        <f>D80</f>
        <v>4908969.5254379706</v>
      </c>
      <c r="E27" s="197">
        <f t="shared" ref="E27:I27" si="5">E80</f>
        <v>-640597.99929913564</v>
      </c>
      <c r="F27" s="197">
        <f t="shared" si="5"/>
        <v>1868922.9352468082</v>
      </c>
      <c r="G27" s="197">
        <f t="shared" si="5"/>
        <v>1417759.0162333176</v>
      </c>
      <c r="H27" s="197">
        <f t="shared" si="5"/>
        <v>-22077623.369476851</v>
      </c>
      <c r="I27" s="197">
        <f t="shared" si="5"/>
        <v>-3462307.2983391811</v>
      </c>
      <c r="J27" s="197">
        <f t="shared" ref="J27" si="6">J80</f>
        <v>1977691.6847788664</v>
      </c>
    </row>
    <row r="28" spans="1:10" x14ac:dyDescent="0.2">
      <c r="A28" s="196">
        <v>24</v>
      </c>
      <c r="B28" s="196" t="s">
        <v>160</v>
      </c>
      <c r="C28" s="197">
        <f>SUM(D28:J28)</f>
        <v>0</v>
      </c>
      <c r="D28" s="197">
        <v>0</v>
      </c>
      <c r="E28" s="197">
        <f t="shared" ref="E28" si="7">C227</f>
        <v>0</v>
      </c>
      <c r="F28" s="197">
        <f t="shared" ref="F28" si="8">C341</f>
        <v>0</v>
      </c>
      <c r="G28" s="197">
        <f t="shared" ref="G28" si="9">C455</f>
        <v>0</v>
      </c>
      <c r="H28" s="197">
        <f t="shared" ref="H28" si="10">C570</f>
        <v>0</v>
      </c>
      <c r="I28" s="197">
        <f t="shared" ref="I28:J28" si="11">C685</f>
        <v>0</v>
      </c>
      <c r="J28" s="197">
        <f t="shared" si="11"/>
        <v>0</v>
      </c>
    </row>
    <row r="29" spans="1:10" x14ac:dyDescent="0.2">
      <c r="A29" s="196">
        <v>25</v>
      </c>
      <c r="B29" s="196" t="s">
        <v>161</v>
      </c>
      <c r="C29" s="197">
        <f>SUM(D29:J29)</f>
        <v>-12209731.981012275</v>
      </c>
      <c r="D29" s="197">
        <f>'Page 1.5'!D29+'Page 1.6'!D29</f>
        <v>0</v>
      </c>
      <c r="E29" s="197">
        <f>'Page 1.5'!E29+'Page 1.6'!E29</f>
        <v>1974.7413444922713</v>
      </c>
      <c r="F29" s="197">
        <f>'Page 1.5'!F29+'Page 1.6'!F29</f>
        <v>108413.62256774821</v>
      </c>
      <c r="G29" s="197">
        <f>'Page 1.5'!G29+'Page 1.6'!G29</f>
        <v>-23692931.812415481</v>
      </c>
      <c r="H29" s="197">
        <f>'Page 1.5'!H29+'Page 1.6'!H29</f>
        <v>7202729.6632482335</v>
      </c>
      <c r="I29" s="197">
        <f>'Page 1.5'!I29+'Page 1.6'!I29</f>
        <v>4629313.221375009</v>
      </c>
      <c r="J29" s="197">
        <f>'Page 1.5'!J29+'Page 1.6'!J29</f>
        <v>-459231.41713227727</v>
      </c>
    </row>
    <row r="30" spans="1:10" x14ac:dyDescent="0.2">
      <c r="A30" s="196">
        <v>26</v>
      </c>
      <c r="B30" s="196" t="s">
        <v>69</v>
      </c>
      <c r="C30" s="197">
        <f>SUM(D30:J30)</f>
        <v>0</v>
      </c>
      <c r="D30" s="197">
        <f>'Page 1.5'!D30+'Page 1.6'!D30</f>
        <v>0</v>
      </c>
      <c r="E30" s="197">
        <f>'Page 1.5'!E30+'Page 1.6'!E30</f>
        <v>0</v>
      </c>
      <c r="F30" s="197">
        <f>'Page 1.5'!F30+'Page 1.6'!F30</f>
        <v>0</v>
      </c>
      <c r="G30" s="197">
        <f>'Page 1.5'!G30+'Page 1.6'!G30</f>
        <v>0</v>
      </c>
      <c r="H30" s="197">
        <f>'Page 1.5'!H30+'Page 1.6'!H30</f>
        <v>0</v>
      </c>
      <c r="I30" s="197">
        <f>'Page 1.5'!I30+'Page 1.6'!I30</f>
        <v>0</v>
      </c>
      <c r="J30" s="197">
        <f>'Page 1.5'!J30+'Page 1.6'!J30</f>
        <v>0</v>
      </c>
    </row>
    <row r="31" spans="1:10" x14ac:dyDescent="0.2">
      <c r="A31" s="196">
        <v>27</v>
      </c>
      <c r="B31" s="196" t="s">
        <v>70</v>
      </c>
      <c r="C31" s="197">
        <f>SUM(D31:J31)</f>
        <v>325568.89931887086</v>
      </c>
      <c r="D31" s="197">
        <f>'Page 1.5'!D31+'Page 1.6'!D31</f>
        <v>0</v>
      </c>
      <c r="E31" s="197">
        <f>'Page 1.5'!E31+'Page 1.6'!E31</f>
        <v>265149.29931887088</v>
      </c>
      <c r="F31" s="197">
        <f>'Page 1.5'!F31+'Page 1.6'!F31</f>
        <v>0</v>
      </c>
      <c r="G31" s="197">
        <f>'Page 1.5'!G31+'Page 1.6'!G31</f>
        <v>0</v>
      </c>
      <c r="H31" s="197">
        <f>'Page 1.5'!H31+'Page 1.6'!H31</f>
        <v>0</v>
      </c>
      <c r="I31" s="197">
        <f>'Page 1.5'!I31+'Page 1.6'!I31</f>
        <v>60419.600000000006</v>
      </c>
      <c r="J31" s="197">
        <f>'Page 1.5'!J31+'Page 1.6'!J31</f>
        <v>0</v>
      </c>
    </row>
    <row r="32" spans="1:10" x14ac:dyDescent="0.2">
      <c r="A32" s="196">
        <v>28</v>
      </c>
      <c r="B32" s="201" t="s">
        <v>71</v>
      </c>
      <c r="C32" s="202">
        <f>SUM(C23:C31)</f>
        <v>36438659.158120908</v>
      </c>
      <c r="D32" s="202">
        <f t="shared" ref="D32:I32" si="12">SUM(D23:D31)</f>
        <v>4908969.5254379706</v>
      </c>
      <c r="E32" s="202">
        <f t="shared" si="12"/>
        <v>1723694.5316331033</v>
      </c>
      <c r="F32" s="202">
        <f t="shared" si="12"/>
        <v>-22137984.219112717</v>
      </c>
      <c r="G32" s="202">
        <f t="shared" si="12"/>
        <v>53727243.22124663</v>
      </c>
      <c r="H32" s="202">
        <f t="shared" si="12"/>
        <v>-12806216.102573946</v>
      </c>
      <c r="I32" s="202">
        <f t="shared" si="12"/>
        <v>16096128.295543004</v>
      </c>
      <c r="J32" s="202">
        <f t="shared" ref="J32" si="13">SUM(J23:J31)</f>
        <v>-5073176.0940531436</v>
      </c>
    </row>
    <row r="33" spans="1:10" x14ac:dyDescent="0.2">
      <c r="A33" s="196">
        <v>29</v>
      </c>
      <c r="B33" s="196"/>
    </row>
    <row r="34" spans="1:10" ht="13.5" thickBot="1" x14ac:dyDescent="0.25">
      <c r="A34" s="196">
        <v>30</v>
      </c>
      <c r="B34" s="196" t="s">
        <v>72</v>
      </c>
      <c r="C34" s="203">
        <f>C10-C32</f>
        <v>-10119413.636036601</v>
      </c>
      <c r="D34" s="203">
        <f t="shared" ref="D34:I34" si="14">D10-D32</f>
        <v>18467075.833790462</v>
      </c>
      <c r="E34" s="203">
        <f t="shared" si="14"/>
        <v>-2403810.463221177</v>
      </c>
      <c r="F34" s="203">
        <f t="shared" si="14"/>
        <v>7337031.571504185</v>
      </c>
      <c r="G34" s="203">
        <f t="shared" si="14"/>
        <v>-53727243.22124663</v>
      </c>
      <c r="H34" s="203">
        <f t="shared" si="14"/>
        <v>12806216.102573946</v>
      </c>
      <c r="I34" s="203">
        <f t="shared" si="14"/>
        <v>1369792.2044570111</v>
      </c>
      <c r="J34" s="203">
        <f t="shared" ref="J34" si="15">J10-J32</f>
        <v>6031524.3361056065</v>
      </c>
    </row>
    <row r="35" spans="1:10" ht="13.5" thickTop="1" x14ac:dyDescent="0.2">
      <c r="A35" s="196">
        <v>31</v>
      </c>
      <c r="B35" s="196"/>
    </row>
    <row r="36" spans="1:10" x14ac:dyDescent="0.2">
      <c r="A36" s="196">
        <v>32</v>
      </c>
      <c r="B36" s="196" t="s">
        <v>73</v>
      </c>
    </row>
    <row r="37" spans="1:10" x14ac:dyDescent="0.2">
      <c r="A37" s="196">
        <v>33</v>
      </c>
      <c r="B37" s="196" t="s">
        <v>74</v>
      </c>
      <c r="C37" s="197">
        <f t="shared" ref="C37:C47" si="16">SUM(D37:J37)</f>
        <v>225285544.6535688</v>
      </c>
      <c r="D37" s="197">
        <f>'Page 1.5'!D37+'Page 1.6'!D37</f>
        <v>0</v>
      </c>
      <c r="E37" s="197">
        <f>'Page 1.5'!E37+'Page 1.6'!E37</f>
        <v>0</v>
      </c>
      <c r="F37" s="197">
        <f>'Page 1.5'!F37+'Page 1.6'!F37</f>
        <v>-27315181.895597834</v>
      </c>
      <c r="G37" s="197">
        <f>'Page 1.5'!G37+'Page 1.6'!G37</f>
        <v>0</v>
      </c>
      <c r="H37" s="197">
        <f>'Page 1.5'!H37+'Page 1.6'!H37</f>
        <v>0</v>
      </c>
      <c r="I37" s="197">
        <f>'Page 1.5'!I37+'Page 1.6'!I37</f>
        <v>307126761.63907075</v>
      </c>
      <c r="J37" s="197">
        <f>'Page 1.5'!J37+'Page 1.6'!J37</f>
        <v>-54526035.089904122</v>
      </c>
    </row>
    <row r="38" spans="1:10" x14ac:dyDescent="0.2">
      <c r="A38" s="196">
        <v>34</v>
      </c>
      <c r="B38" s="196" t="s">
        <v>75</v>
      </c>
      <c r="C38" s="197">
        <f t="shared" si="16"/>
        <v>0</v>
      </c>
      <c r="D38" s="197">
        <f>'Page 1.5'!D38+'Page 1.6'!D38</f>
        <v>0</v>
      </c>
      <c r="E38" s="197">
        <f>'Page 1.5'!E38+'Page 1.6'!E38</f>
        <v>0</v>
      </c>
      <c r="F38" s="197">
        <f>'Page 1.5'!F38+'Page 1.6'!F38</f>
        <v>0</v>
      </c>
      <c r="G38" s="197">
        <f>'Page 1.5'!G38+'Page 1.6'!G38</f>
        <v>0</v>
      </c>
      <c r="H38" s="197">
        <f>'Page 1.5'!H38+'Page 1.6'!H38</f>
        <v>0</v>
      </c>
      <c r="I38" s="197">
        <f>'Page 1.5'!I38+'Page 1.6'!I38</f>
        <v>0</v>
      </c>
      <c r="J38" s="197">
        <f>'Page 1.5'!J38+'Page 1.6'!J38</f>
        <v>0</v>
      </c>
    </row>
    <row r="39" spans="1:10" x14ac:dyDescent="0.2">
      <c r="A39" s="196">
        <v>35</v>
      </c>
      <c r="B39" s="196" t="s">
        <v>76</v>
      </c>
      <c r="C39" s="197">
        <f t="shared" si="16"/>
        <v>-3860837.6868859874</v>
      </c>
      <c r="D39" s="197">
        <f>'Page 1.5'!D39+'Page 1.6'!D39</f>
        <v>0</v>
      </c>
      <c r="E39" s="197">
        <f>'Page 1.5'!E39+'Page 1.6'!E39</f>
        <v>0</v>
      </c>
      <c r="F39" s="197">
        <f>'Page 1.5'!F39+'Page 1.6'!F39</f>
        <v>0</v>
      </c>
      <c r="G39" s="197">
        <f>'Page 1.5'!G39+'Page 1.6'!G39</f>
        <v>0</v>
      </c>
      <c r="H39" s="197">
        <f>'Page 1.5'!H39+'Page 1.6'!H39</f>
        <v>0</v>
      </c>
      <c r="I39" s="197">
        <f>'Page 1.5'!I39+'Page 1.6'!I39</f>
        <v>-3860837.6868859874</v>
      </c>
      <c r="J39" s="197">
        <f>'Page 1.5'!J39+'Page 1.6'!J39</f>
        <v>0</v>
      </c>
    </row>
    <row r="40" spans="1:10" x14ac:dyDescent="0.2">
      <c r="A40" s="196">
        <v>36</v>
      </c>
      <c r="B40" s="196" t="s">
        <v>77</v>
      </c>
      <c r="C40" s="197">
        <f t="shared" si="16"/>
        <v>0</v>
      </c>
      <c r="D40" s="197">
        <f>'Page 1.5'!D40+'Page 1.6'!D40</f>
        <v>0</v>
      </c>
      <c r="E40" s="197">
        <f>'Page 1.5'!E40+'Page 1.6'!E40</f>
        <v>0</v>
      </c>
      <c r="F40" s="197">
        <f>'Page 1.5'!F40+'Page 1.6'!F40</f>
        <v>0</v>
      </c>
      <c r="G40" s="197">
        <f>'Page 1.5'!G40+'Page 1.6'!G40</f>
        <v>0</v>
      </c>
      <c r="H40" s="197">
        <f>'Page 1.5'!H40+'Page 1.6'!H40</f>
        <v>0</v>
      </c>
      <c r="I40" s="197">
        <f>'Page 1.5'!I40+'Page 1.6'!I40</f>
        <v>0</v>
      </c>
      <c r="J40" s="197">
        <f>'Page 1.5'!J40+'Page 1.6'!J40</f>
        <v>0</v>
      </c>
    </row>
    <row r="41" spans="1:10" x14ac:dyDescent="0.2">
      <c r="A41" s="196">
        <v>37</v>
      </c>
      <c r="B41" s="196" t="s">
        <v>78</v>
      </c>
      <c r="C41" s="197">
        <f t="shared" si="16"/>
        <v>0</v>
      </c>
      <c r="D41" s="197">
        <f>'Page 1.5'!D41+'Page 1.6'!D41</f>
        <v>0</v>
      </c>
      <c r="E41" s="197">
        <f>'Page 1.5'!E41+'Page 1.6'!E41</f>
        <v>0</v>
      </c>
      <c r="F41" s="197">
        <f>'Page 1.5'!F41+'Page 1.6'!F41</f>
        <v>0</v>
      </c>
      <c r="G41" s="197">
        <f>'Page 1.5'!G41+'Page 1.6'!G41</f>
        <v>0</v>
      </c>
      <c r="H41" s="197">
        <f>'Page 1.5'!H41+'Page 1.6'!H41</f>
        <v>0</v>
      </c>
      <c r="I41" s="197">
        <f>'Page 1.5'!I41+'Page 1.6'!I41</f>
        <v>0</v>
      </c>
      <c r="J41" s="197">
        <f>'Page 1.5'!J41+'Page 1.6'!J41</f>
        <v>0</v>
      </c>
    </row>
    <row r="42" spans="1:10" x14ac:dyDescent="0.2">
      <c r="A42" s="196">
        <v>38</v>
      </c>
      <c r="B42" s="196" t="s">
        <v>79</v>
      </c>
      <c r="C42" s="197">
        <f t="shared" si="16"/>
        <v>-2033329.3412143218</v>
      </c>
      <c r="D42" s="197">
        <f>'Page 1.5'!D42+'Page 1.6'!D42</f>
        <v>0</v>
      </c>
      <c r="E42" s="197">
        <f>'Page 1.5'!E42+'Page 1.6'!E42</f>
        <v>0</v>
      </c>
      <c r="F42" s="197">
        <f>'Page 1.5'!F42+'Page 1.6'!F42</f>
        <v>0</v>
      </c>
      <c r="G42" s="197">
        <f>'Page 1.5'!G42+'Page 1.6'!G42</f>
        <v>0</v>
      </c>
      <c r="H42" s="197">
        <f>'Page 1.5'!H42+'Page 1.6'!H42</f>
        <v>0</v>
      </c>
      <c r="I42" s="197">
        <f>'Page 1.5'!I42+'Page 1.6'!I42</f>
        <v>-2033329.3412143218</v>
      </c>
      <c r="J42" s="197">
        <f>'Page 1.5'!J42+'Page 1.6'!J42</f>
        <v>0</v>
      </c>
    </row>
    <row r="43" spans="1:10" x14ac:dyDescent="0.2">
      <c r="A43" s="196">
        <v>39</v>
      </c>
      <c r="B43" s="196" t="s">
        <v>80</v>
      </c>
      <c r="C43" s="197">
        <f t="shared" si="16"/>
        <v>-5721215.8555581281</v>
      </c>
      <c r="D43" s="197">
        <f>'Page 1.5'!D43+'Page 1.6'!D43</f>
        <v>0</v>
      </c>
      <c r="E43" s="197">
        <f>'Page 1.5'!E43+'Page 1.6'!E43</f>
        <v>0</v>
      </c>
      <c r="F43" s="197">
        <f>'Page 1.5'!F43+'Page 1.6'!F43</f>
        <v>0</v>
      </c>
      <c r="G43" s="197">
        <f>'Page 1.5'!G43+'Page 1.6'!G43</f>
        <v>0</v>
      </c>
      <c r="H43" s="197">
        <f>'Page 1.5'!H43+'Page 1.6'!H43</f>
        <v>0</v>
      </c>
      <c r="I43" s="197">
        <f>'Page 1.5'!I43+'Page 1.6'!I43</f>
        <v>-5721215.8555581281</v>
      </c>
      <c r="J43" s="197">
        <f>'Page 1.5'!J43+'Page 1.6'!J43</f>
        <v>0</v>
      </c>
    </row>
    <row r="44" spans="1:10" x14ac:dyDescent="0.2">
      <c r="A44" s="196">
        <v>40</v>
      </c>
      <c r="B44" s="196" t="s">
        <v>81</v>
      </c>
      <c r="C44" s="197">
        <f t="shared" si="16"/>
        <v>-8818868.4865037892</v>
      </c>
      <c r="D44" s="197">
        <f>'Page 1.5'!D44+'Page 1.6'!D44</f>
        <v>0</v>
      </c>
      <c r="E44" s="197">
        <f>'Page 1.5'!E44+'Page 1.6'!E44</f>
        <v>0</v>
      </c>
      <c r="F44" s="197">
        <f>'Page 1.5'!F44+'Page 1.6'!F44</f>
        <v>0</v>
      </c>
      <c r="G44" s="197">
        <f>'Page 1.5'!G44+'Page 1.6'!G44</f>
        <v>0</v>
      </c>
      <c r="H44" s="197">
        <f>'Page 1.5'!H44+'Page 1.6'!H44</f>
        <v>0</v>
      </c>
      <c r="I44" s="197">
        <f>'Page 1.5'!I44+'Page 1.6'!I44</f>
        <v>-8818868.4865037892</v>
      </c>
      <c r="J44" s="197">
        <f>'Page 1.5'!J44+'Page 1.6'!J44</f>
        <v>0</v>
      </c>
    </row>
    <row r="45" spans="1:10" x14ac:dyDescent="0.2">
      <c r="A45" s="196">
        <v>41</v>
      </c>
      <c r="B45" s="196" t="s">
        <v>82</v>
      </c>
      <c r="C45" s="197">
        <f t="shared" si="16"/>
        <v>20620031.009925332</v>
      </c>
      <c r="D45" s="197">
        <f>'Page 1.5'!D45+'Page 1.6'!D45</f>
        <v>0</v>
      </c>
      <c r="E45" s="197">
        <f>'Page 1.5'!E45+'Page 1.6'!E45</f>
        <v>0</v>
      </c>
      <c r="F45" s="197">
        <f>'Page 1.5'!F45+'Page 1.6'!F45</f>
        <v>0</v>
      </c>
      <c r="G45" s="197">
        <f>'Page 1.5'!G45+'Page 1.6'!G45</f>
        <v>0</v>
      </c>
      <c r="H45" s="197">
        <f>'Page 1.5'!H45+'Page 1.6'!H45</f>
        <v>0</v>
      </c>
      <c r="I45" s="197">
        <f>'Page 1.5'!I45+'Page 1.6'!I45</f>
        <v>20620031.009925332</v>
      </c>
      <c r="J45" s="197">
        <f>'Page 1.5'!J45+'Page 1.6'!J45</f>
        <v>0</v>
      </c>
    </row>
    <row r="46" spans="1:10" x14ac:dyDescent="0.2">
      <c r="A46" s="196">
        <v>42</v>
      </c>
      <c r="B46" s="196" t="s">
        <v>162</v>
      </c>
      <c r="C46" s="197">
        <f t="shared" si="16"/>
        <v>0</v>
      </c>
      <c r="D46" s="197">
        <f>'Page 1.5'!D46+'Page 1.6'!D46</f>
        <v>0</v>
      </c>
      <c r="E46" s="197">
        <f>'Page 1.5'!E46+'Page 1.6'!E46</f>
        <v>0</v>
      </c>
      <c r="F46" s="197">
        <f>'Page 1.5'!F46+'Page 1.6'!F46</f>
        <v>0</v>
      </c>
      <c r="G46" s="197">
        <f>'Page 1.5'!G46+'Page 1.6'!G46</f>
        <v>0</v>
      </c>
      <c r="H46" s="197">
        <f>'Page 1.5'!H46+'Page 1.6'!H46</f>
        <v>0</v>
      </c>
      <c r="I46" s="197">
        <f>'Page 1.5'!I46+'Page 1.6'!I46</f>
        <v>0</v>
      </c>
      <c r="J46" s="197">
        <f>'Page 1.5'!J46+'Page 1.6'!J46</f>
        <v>0</v>
      </c>
    </row>
    <row r="47" spans="1:10" x14ac:dyDescent="0.2">
      <c r="A47" s="196">
        <v>43</v>
      </c>
      <c r="B47" s="196" t="s">
        <v>84</v>
      </c>
      <c r="C47" s="197">
        <f t="shared" si="16"/>
        <v>0</v>
      </c>
      <c r="D47" s="199">
        <f>'Page 1.5'!D47+'Page 1.6'!D47</f>
        <v>0</v>
      </c>
      <c r="E47" s="197">
        <f>'Page 1.5'!E47+'Page 1.6'!E47</f>
        <v>0</v>
      </c>
      <c r="F47" s="197">
        <f>'Page 1.5'!F47+'Page 1.6'!F47</f>
        <v>0</v>
      </c>
      <c r="G47" s="197">
        <f>'Page 1.5'!G47+'Page 1.6'!G47</f>
        <v>0</v>
      </c>
      <c r="H47" s="197">
        <f>'Page 1.5'!H47+'Page 1.6'!H47</f>
        <v>0</v>
      </c>
      <c r="I47" s="197">
        <f>'Page 1.5'!I47+'Page 1.6'!I47</f>
        <v>0</v>
      </c>
      <c r="J47" s="197">
        <f>'Page 1.5'!J47+'Page 1.6'!J47</f>
        <v>0</v>
      </c>
    </row>
    <row r="48" spans="1:10" x14ac:dyDescent="0.2">
      <c r="A48" s="196">
        <v>44</v>
      </c>
      <c r="B48" s="196" t="s">
        <v>85</v>
      </c>
      <c r="C48" s="202">
        <f>SUM(C37:C47)</f>
        <v>225471324.29333192</v>
      </c>
      <c r="D48" s="202">
        <f t="shared" ref="D48:I48" si="17">SUM(D37:D47)</f>
        <v>0</v>
      </c>
      <c r="E48" s="202">
        <f t="shared" si="17"/>
        <v>0</v>
      </c>
      <c r="F48" s="202">
        <f t="shared" si="17"/>
        <v>-27315181.895597834</v>
      </c>
      <c r="G48" s="202">
        <f t="shared" si="17"/>
        <v>0</v>
      </c>
      <c r="H48" s="202">
        <f t="shared" si="17"/>
        <v>0</v>
      </c>
      <c r="I48" s="202">
        <f t="shared" si="17"/>
        <v>307312541.27883381</v>
      </c>
      <c r="J48" s="202">
        <f t="shared" ref="J48" si="18">SUM(J37:J47)</f>
        <v>-54526035.089904122</v>
      </c>
    </row>
    <row r="49" spans="1:13" x14ac:dyDescent="0.2">
      <c r="A49" s="196">
        <v>45</v>
      </c>
      <c r="B49" s="196"/>
    </row>
    <row r="50" spans="1:13" x14ac:dyDescent="0.2">
      <c r="A50" s="196">
        <v>46</v>
      </c>
      <c r="B50" s="196" t="s">
        <v>163</v>
      </c>
    </row>
    <row r="51" spans="1:13" x14ac:dyDescent="0.2">
      <c r="A51" s="196">
        <v>47</v>
      </c>
      <c r="B51" s="196" t="s">
        <v>87</v>
      </c>
      <c r="C51" s="197">
        <f t="shared" ref="C51:C57" si="19">SUM(D51:J51)</f>
        <v>-15483920.070655312</v>
      </c>
      <c r="D51" s="197">
        <f>'Page 1.5'!D51+'Page 1.6'!D51</f>
        <v>0</v>
      </c>
      <c r="E51" s="197">
        <f>'Page 1.5'!E51+'Page 1.6'!E51</f>
        <v>0</v>
      </c>
      <c r="F51" s="197">
        <f>'Page 1.5'!F51+'Page 1.6'!F51</f>
        <v>20667243.049652372</v>
      </c>
      <c r="G51" s="197">
        <f>'Page 1.5'!G51+'Page 1.6'!G51</f>
        <v>-102161036.24888787</v>
      </c>
      <c r="H51" s="197">
        <f>'Page 1.5'!H51+'Page 1.6'!H51</f>
        <v>0</v>
      </c>
      <c r="I51" s="197">
        <f>'Page 1.5'!I51+'Page 1.6'!I51</f>
        <v>41265364.262999192</v>
      </c>
      <c r="J51" s="197">
        <f>'Page 1.5'!J51+'Page 1.6'!J51</f>
        <v>24744508.865580995</v>
      </c>
    </row>
    <row r="52" spans="1:13" x14ac:dyDescent="0.2">
      <c r="A52" s="196">
        <v>48</v>
      </c>
      <c r="B52" s="196" t="s">
        <v>88</v>
      </c>
      <c r="C52" s="197">
        <f t="shared" si="19"/>
        <v>-320002.38537559565</v>
      </c>
      <c r="D52" s="197">
        <f>'Page 1.5'!D52+'Page 1.6'!D52</f>
        <v>0</v>
      </c>
      <c r="E52" s="197">
        <f>'Page 1.5'!E52+'Page 1.6'!E52</f>
        <v>0</v>
      </c>
      <c r="F52" s="197">
        <f>'Page 1.5'!F52+'Page 1.6'!F52</f>
        <v>-399.52501906083393</v>
      </c>
      <c r="G52" s="197">
        <f>'Page 1.5'!G52+'Page 1.6'!G52</f>
        <v>-5683079.0028291726</v>
      </c>
      <c r="H52" s="197">
        <f>'Page 1.5'!H52+'Page 1.6'!H52</f>
        <v>0</v>
      </c>
      <c r="I52" s="197">
        <f>'Page 1.5'!I52+'Page 1.6'!I52</f>
        <v>0</v>
      </c>
      <c r="J52" s="197">
        <f>'Page 1.5'!J52+'Page 1.6'!J52</f>
        <v>5363476.1424726378</v>
      </c>
    </row>
    <row r="53" spans="1:13" x14ac:dyDescent="0.2">
      <c r="A53" s="196">
        <v>49</v>
      </c>
      <c r="B53" s="196" t="s">
        <v>89</v>
      </c>
      <c r="C53" s="197">
        <f t="shared" si="19"/>
        <v>51828263.95438119</v>
      </c>
      <c r="D53" s="197">
        <f>'Page 1.5'!D53+'Page 1.6'!D53</f>
        <v>0</v>
      </c>
      <c r="E53" s="197">
        <f>'Page 1.5'!E53+'Page 1.6'!E53</f>
        <v>-20743.75673634035</v>
      </c>
      <c r="F53" s="197">
        <f>'Page 1.5'!F53+'Page 1.6'!F53</f>
        <v>1834218.0700795404</v>
      </c>
      <c r="G53" s="197">
        <f>'Page 1.5'!G53+'Page 1.6'!G53</f>
        <v>10173154.57103519</v>
      </c>
      <c r="H53" s="197">
        <f>'Page 1.5'!H53+'Page 1.6'!H53</f>
        <v>43404315.260914028</v>
      </c>
      <c r="I53" s="197">
        <f>'Page 1.5'!I53+'Page 1.6'!I53</f>
        <v>-241528.80045586452</v>
      </c>
      <c r="J53" s="197">
        <f>'Page 1.5'!J53+'Page 1.6'!J53</f>
        <v>-3321151.3904553587</v>
      </c>
    </row>
    <row r="54" spans="1:13" x14ac:dyDescent="0.2">
      <c r="A54" s="196">
        <v>50</v>
      </c>
      <c r="B54" s="196" t="s">
        <v>90</v>
      </c>
      <c r="C54" s="197">
        <f t="shared" si="19"/>
        <v>0</v>
      </c>
      <c r="D54" s="197">
        <f>'Page 1.5'!D54+'Page 1.6'!D54</f>
        <v>0</v>
      </c>
      <c r="E54" s="197">
        <f>'Page 1.5'!E54+'Page 1.6'!E54</f>
        <v>0</v>
      </c>
      <c r="F54" s="197">
        <f>'Page 1.5'!F54+'Page 1.6'!F54</f>
        <v>0</v>
      </c>
      <c r="G54" s="197">
        <f>'Page 1.5'!G54+'Page 1.6'!G54</f>
        <v>0</v>
      </c>
      <c r="H54" s="197">
        <f>'Page 1.5'!H54+'Page 1.6'!H54</f>
        <v>0</v>
      </c>
      <c r="I54" s="197">
        <f>'Page 1.5'!I54+'Page 1.6'!I54</f>
        <v>0</v>
      </c>
      <c r="J54" s="197">
        <f>'Page 1.5'!J54+'Page 1.6'!J54</f>
        <v>0</v>
      </c>
    </row>
    <row r="55" spans="1:13" x14ac:dyDescent="0.2">
      <c r="A55" s="196">
        <v>51</v>
      </c>
      <c r="B55" s="196" t="s">
        <v>91</v>
      </c>
      <c r="C55" s="197">
        <f t="shared" si="19"/>
        <v>-2502028.2767103352</v>
      </c>
      <c r="D55" s="197">
        <f>'Page 1.5'!D55+'Page 1.6'!D55</f>
        <v>0</v>
      </c>
      <c r="E55" s="197">
        <f>'Page 1.5'!E55+'Page 1.6'!E55</f>
        <v>0</v>
      </c>
      <c r="F55" s="197">
        <f>'Page 1.5'!F55+'Page 1.6'!F55</f>
        <v>0</v>
      </c>
      <c r="G55" s="197">
        <f>'Page 1.5'!G55+'Page 1.6'!G55</f>
        <v>0</v>
      </c>
      <c r="H55" s="197">
        <f>'Page 1.5'!H55+'Page 1.6'!H55</f>
        <v>0</v>
      </c>
      <c r="I55" s="197">
        <f>'Page 1.5'!I55+'Page 1.6'!I55</f>
        <v>-2502028.2767103352</v>
      </c>
      <c r="J55" s="197">
        <f>'Page 1.5'!J55+'Page 1.6'!J55</f>
        <v>0</v>
      </c>
    </row>
    <row r="56" spans="1:13" x14ac:dyDescent="0.2">
      <c r="A56" s="196">
        <v>52</v>
      </c>
      <c r="B56" s="196" t="s">
        <v>92</v>
      </c>
      <c r="C56" s="197">
        <f t="shared" si="19"/>
        <v>-2829106.1541666668</v>
      </c>
      <c r="D56" s="197">
        <f>'Page 1.5'!D56+'Page 1.6'!D56</f>
        <v>0</v>
      </c>
      <c r="E56" s="197">
        <f>'Page 1.5'!E56+'Page 1.6'!E56</f>
        <v>0</v>
      </c>
      <c r="F56" s="197">
        <f>'Page 1.5'!F56+'Page 1.6'!F56</f>
        <v>0</v>
      </c>
      <c r="G56" s="197">
        <f>'Page 1.5'!G56+'Page 1.6'!G56</f>
        <v>0</v>
      </c>
      <c r="H56" s="197">
        <f>'Page 1.5'!H56+'Page 1.6'!H56</f>
        <v>0</v>
      </c>
      <c r="I56" s="197">
        <f>'Page 1.5'!I56+'Page 1.6'!I56</f>
        <v>-2829106.1541666668</v>
      </c>
      <c r="J56" s="197">
        <f>'Page 1.5'!J56+'Page 1.6'!J56</f>
        <v>0</v>
      </c>
    </row>
    <row r="57" spans="1:13" x14ac:dyDescent="0.2">
      <c r="A57" s="196">
        <v>53</v>
      </c>
      <c r="B57" s="196" t="s">
        <v>164</v>
      </c>
      <c r="C57" s="197">
        <f t="shared" si="19"/>
        <v>-18889957.78050717</v>
      </c>
      <c r="D57" s="197">
        <f>'Page 1.5'!D57+'Page 1.6'!D57</f>
        <v>0</v>
      </c>
      <c r="E57" s="197">
        <f>'Page 1.5'!E57+'Page 1.6'!E57</f>
        <v>0</v>
      </c>
      <c r="F57" s="197">
        <f>'Page 1.5'!F57+'Page 1.6'!F57</f>
        <v>0</v>
      </c>
      <c r="G57" s="197">
        <f>'Page 1.5'!G57+'Page 1.6'!G57</f>
        <v>0</v>
      </c>
      <c r="H57" s="197">
        <f>'Page 1.5'!H57+'Page 1.6'!H57</f>
        <v>3070693</v>
      </c>
      <c r="I57" s="197">
        <f>'Page 1.5'!I57+'Page 1.6'!I57</f>
        <v>-21960650.78050717</v>
      </c>
      <c r="J57" s="197">
        <f>'Page 1.5'!J57+'Page 1.6'!J57</f>
        <v>0</v>
      </c>
    </row>
    <row r="58" spans="1:13" x14ac:dyDescent="0.2">
      <c r="A58" s="196">
        <v>54</v>
      </c>
      <c r="B58" s="196"/>
      <c r="F58" s="197"/>
      <c r="G58" s="197"/>
    </row>
    <row r="59" spans="1:13" x14ac:dyDescent="0.2">
      <c r="A59" s="196">
        <v>55</v>
      </c>
      <c r="B59" s="196" t="s">
        <v>165</v>
      </c>
      <c r="C59" s="202">
        <f>SUM(C51:C58)</f>
        <v>11803249.286966108</v>
      </c>
      <c r="D59" s="202">
        <f t="shared" ref="D59:I59" si="20">SUM(D51:D58)</f>
        <v>0</v>
      </c>
      <c r="E59" s="202">
        <f t="shared" si="20"/>
        <v>-20743.75673634035</v>
      </c>
      <c r="F59" s="202">
        <f t="shared" si="20"/>
        <v>22501061.59471285</v>
      </c>
      <c r="G59" s="202">
        <f t="shared" si="20"/>
        <v>-97670960.680681854</v>
      </c>
      <c r="H59" s="202">
        <f t="shared" si="20"/>
        <v>46475008.260914028</v>
      </c>
      <c r="I59" s="202">
        <f t="shared" si="20"/>
        <v>13732050.251159154</v>
      </c>
      <c r="J59" s="202">
        <f t="shared" ref="J59" si="21">SUM(J51:J58)</f>
        <v>26786833.617598273</v>
      </c>
    </row>
    <row r="60" spans="1:13" x14ac:dyDescent="0.2">
      <c r="A60" s="196">
        <v>56</v>
      </c>
      <c r="B60" s="196"/>
    </row>
    <row r="61" spans="1:13" ht="13.5" thickBot="1" x14ac:dyDescent="0.25">
      <c r="A61" s="196">
        <v>57</v>
      </c>
      <c r="B61" s="196" t="s">
        <v>95</v>
      </c>
      <c r="C61" s="203">
        <f>C48+C59</f>
        <v>237274573.58029804</v>
      </c>
      <c r="D61" s="203">
        <f t="shared" ref="D61:I61" si="22">D48+D59</f>
        <v>0</v>
      </c>
      <c r="E61" s="203">
        <f t="shared" si="22"/>
        <v>-20743.75673634035</v>
      </c>
      <c r="F61" s="203">
        <f t="shared" si="22"/>
        <v>-4814120.3008849844</v>
      </c>
      <c r="G61" s="203">
        <f t="shared" si="22"/>
        <v>-97670960.680681854</v>
      </c>
      <c r="H61" s="203">
        <f t="shared" si="22"/>
        <v>46475008.260914028</v>
      </c>
      <c r="I61" s="203">
        <f t="shared" si="22"/>
        <v>321044591.52999294</v>
      </c>
      <c r="J61" s="203">
        <f t="shared" ref="J61" si="23">J48+J59</f>
        <v>-27739201.472305849</v>
      </c>
    </row>
    <row r="62" spans="1:13" ht="13.5" thickTop="1" x14ac:dyDescent="0.2">
      <c r="A62" s="196">
        <v>58</v>
      </c>
      <c r="B62" s="196"/>
    </row>
    <row r="63" spans="1:13" x14ac:dyDescent="0.2">
      <c r="A63" s="196">
        <v>59</v>
      </c>
      <c r="B63" s="204" t="s">
        <v>166</v>
      </c>
      <c r="C63" s="205">
        <f t="shared" ref="C63:I63" si="24">(((C34+Unadj_Op_revenue)/(C61+Unadj_rate_base))-Weighted_cost_debt-Weighted_cost_pref)/Percent_common-Unadj_ROE</f>
        <v>-5.6543412375151689E-2</v>
      </c>
      <c r="D63" s="205">
        <f t="shared" si="24"/>
        <v>4.5128972072199403E-2</v>
      </c>
      <c r="E63" s="205">
        <f t="shared" si="24"/>
        <v>-5.8701878134184426E-3</v>
      </c>
      <c r="F63" s="205">
        <f t="shared" si="24"/>
        <v>1.9042668574060811E-2</v>
      </c>
      <c r="G63" s="205">
        <f t="shared" si="24"/>
        <v>-0.12704290024067577</v>
      </c>
      <c r="H63" s="205">
        <f t="shared" si="24"/>
        <v>2.0467568842925665E-2</v>
      </c>
      <c r="I63" s="205">
        <f t="shared" si="24"/>
        <v>-4.4616061166413826E-2</v>
      </c>
      <c r="J63" s="205">
        <f t="shared" ref="J63" si="25">(((J34+Unadj_Op_revenue)/(J61+Unadj_rate_base))-Weighted_cost_debt-Weighted_cost_pref)/Percent_common-Unadj_ROE</f>
        <v>2.1229318242676487E-2</v>
      </c>
      <c r="M63" s="266"/>
    </row>
    <row r="64" spans="1:13" x14ac:dyDescent="0.2">
      <c r="A64" s="196">
        <v>60</v>
      </c>
      <c r="B64" s="206" t="s">
        <v>43</v>
      </c>
      <c r="C64" s="207">
        <f t="shared" ref="C64:I64" si="26">-(C34-(C61*Overall_ROR))/gross_up_factor</f>
        <v>37678114.714260496</v>
      </c>
      <c r="D64" s="207">
        <f t="shared" si="26"/>
        <v>-24519784.68271986</v>
      </c>
      <c r="E64" s="207">
        <f t="shared" si="26"/>
        <v>3189556.2210140941</v>
      </c>
      <c r="F64" s="207">
        <f t="shared" si="26"/>
        <v>-10233644.835244443</v>
      </c>
      <c r="G64" s="207">
        <f t="shared" si="26"/>
        <v>61357811.424641266</v>
      </c>
      <c r="H64" s="207">
        <f t="shared" si="26"/>
        <v>-12255256.559332449</v>
      </c>
      <c r="I64" s="207">
        <f t="shared" si="26"/>
        <v>30981903.823738877</v>
      </c>
      <c r="J64" s="207">
        <f t="shared" ref="J64" si="27">-(J34-(J61*Overall_ROR))/gross_up_factor</f>
        <v>-10842470.677836999</v>
      </c>
    </row>
    <row r="65" spans="1:10" x14ac:dyDescent="0.2">
      <c r="A65" s="196">
        <v>61</v>
      </c>
      <c r="B65" s="196"/>
    </row>
    <row r="66" spans="1:10" x14ac:dyDescent="0.2">
      <c r="A66" s="196">
        <v>62</v>
      </c>
      <c r="B66" s="196" t="s">
        <v>97</v>
      </c>
    </row>
    <row r="67" spans="1:10" x14ac:dyDescent="0.2">
      <c r="A67" s="196">
        <v>63</v>
      </c>
      <c r="B67" s="196" t="s">
        <v>98</v>
      </c>
      <c r="C67" s="200">
        <f>SUM(D67:J67)</f>
        <v>-38336331.122467078</v>
      </c>
      <c r="D67" s="200">
        <f t="shared" ref="D67:I67" si="28">D10-D23-D24-D25-D26-D31</f>
        <v>23376045.359228432</v>
      </c>
      <c r="E67" s="200">
        <f t="shared" si="28"/>
        <v>-3042433.7211758201</v>
      </c>
      <c r="F67" s="200">
        <f t="shared" si="28"/>
        <v>9314368.1293187346</v>
      </c>
      <c r="G67" s="200">
        <f t="shared" si="28"/>
        <v>-76002416.017428786</v>
      </c>
      <c r="H67" s="200">
        <f t="shared" si="28"/>
        <v>-2068677.6036546729</v>
      </c>
      <c r="I67" s="200">
        <f t="shared" si="28"/>
        <v>2536798.1274928409</v>
      </c>
      <c r="J67" s="200">
        <f t="shared" ref="J67" si="29">J10-J23-J24-J25-J26-J31</f>
        <v>7549984.6037521958</v>
      </c>
    </row>
    <row r="68" spans="1:10" x14ac:dyDescent="0.2">
      <c r="A68" s="196">
        <v>64</v>
      </c>
      <c r="B68" s="196" t="s">
        <v>99</v>
      </c>
      <c r="C68" s="200">
        <v>0</v>
      </c>
      <c r="D68" s="3">
        <f>'Page 1.5'!D68+'Page 1.6'!D68</f>
        <v>0</v>
      </c>
      <c r="E68" s="3">
        <f>'Page 1.5'!E68+'Page 1.6'!E68</f>
        <v>0</v>
      </c>
      <c r="F68" s="3">
        <f>'Page 1.5'!F68+'Page 1.6'!F68</f>
        <v>0</v>
      </c>
      <c r="G68" s="3">
        <f>'Page 1.5'!G68+'Page 1.6'!G68</f>
        <v>0</v>
      </c>
      <c r="H68" s="3">
        <f>'Page 1.5'!H68+'Page 1.6'!H68</f>
        <v>0</v>
      </c>
      <c r="I68" s="3">
        <f>'Page 1.5'!I68+'Page 1.6'!I68</f>
        <v>0</v>
      </c>
      <c r="J68" s="3">
        <f>'Page 1.5'!J68+'Page 1.6'!J68</f>
        <v>0</v>
      </c>
    </row>
    <row r="69" spans="1:10" x14ac:dyDescent="0.2">
      <c r="A69" s="196">
        <v>65</v>
      </c>
      <c r="B69" s="196" t="s">
        <v>100</v>
      </c>
      <c r="C69" s="200">
        <f>SUM(D69:J69)</f>
        <v>-4620.2408263712532</v>
      </c>
      <c r="D69" s="200">
        <f>'Page 1.5'!D69+'Page 1.6'!D69</f>
        <v>0</v>
      </c>
      <c r="E69" s="200">
        <f>'Page 1.5'!E69+'Page 1.6'!E69</f>
        <v>0</v>
      </c>
      <c r="F69" s="200">
        <f>'Page 1.5'!F69+'Page 1.6'!F69</f>
        <v>0</v>
      </c>
      <c r="G69" s="200">
        <f>'Page 1.5'!G69+'Page 1.6'!G69</f>
        <v>0</v>
      </c>
      <c r="H69" s="200">
        <f>'Page 1.5'!H69+'Page 1.6'!H69</f>
        <v>-4620.2408263712532</v>
      </c>
      <c r="I69" s="200">
        <f>'Page 1.5'!I69+'Page 1.6'!I69</f>
        <v>0</v>
      </c>
      <c r="J69" s="200">
        <f>'Page 1.5'!J69+'Page 1.6'!J69</f>
        <v>0</v>
      </c>
    </row>
    <row r="70" spans="1:10" x14ac:dyDescent="0.2">
      <c r="A70" s="196">
        <v>66</v>
      </c>
      <c r="B70" s="196" t="s">
        <v>101</v>
      </c>
      <c r="C70" s="200">
        <f>SUM(D70:J70)</f>
        <v>1670854.9220341332</v>
      </c>
      <c r="D70" s="200">
        <f>'Page 1.5'!D70+'Page 1.6'!D70</f>
        <v>0</v>
      </c>
      <c r="E70" s="200">
        <f>'Page 1.5'!E70+'Page 1.6'!E70</f>
        <v>0</v>
      </c>
      <c r="F70" s="200">
        <f>'Page 1.5'!F70+'Page 1.6'!F70</f>
        <v>0</v>
      </c>
      <c r="G70" s="200">
        <f>'Page 1.5'!G70+'Page 1.6'!G70</f>
        <v>0</v>
      </c>
      <c r="H70" s="200">
        <f>'Page 1.5'!H70+'Page 1.6'!H70</f>
        <v>1670854.9220341332</v>
      </c>
      <c r="I70" s="200">
        <f>'Page 1.5'!I70+'Page 1.6'!I70</f>
        <v>0</v>
      </c>
      <c r="J70" s="200">
        <f>'Page 1.5'!J70+'Page 1.6'!J70</f>
        <v>0</v>
      </c>
    </row>
    <row r="71" spans="1:10" x14ac:dyDescent="0.2">
      <c r="A71" s="196">
        <v>67</v>
      </c>
      <c r="B71" s="201" t="s">
        <v>102</v>
      </c>
      <c r="C71" s="200">
        <f>SUM(D71:J71)</f>
        <v>84016800.663562</v>
      </c>
      <c r="D71" s="200">
        <f>'Page 1.5'!D71+'Page 1.6'!D71</f>
        <v>0</v>
      </c>
      <c r="E71" s="200">
        <f>'Page 1.5'!E71+'Page 1.6'!E71</f>
        <v>-133728.44429361407</v>
      </c>
      <c r="F71" s="200">
        <f>'Page 1.5'!F71+'Page 1.6'!F71</f>
        <v>-51450.415349426155</v>
      </c>
      <c r="G71" s="200">
        <f>'Page 1.5'!G71+'Page 1.6'!G71</f>
        <v>82753649.428063631</v>
      </c>
      <c r="H71" s="200">
        <f>'Page 1.5'!H71+'Page 1.6'!H71</f>
        <v>-16168841.656383418</v>
      </c>
      <c r="I71" s="200">
        <f>'Page 1.5'!I71+'Page 1.6'!I71</f>
        <v>16395097.915095218</v>
      </c>
      <c r="J71" s="200">
        <f>'Page 1.5'!J71+'Page 1.6'!J71</f>
        <v>1222073.8364296062</v>
      </c>
    </row>
    <row r="72" spans="1:10" x14ac:dyDescent="0.2">
      <c r="A72" s="196">
        <v>68</v>
      </c>
      <c r="B72" s="201" t="s">
        <v>103</v>
      </c>
      <c r="C72" s="208">
        <f>SUM(D72:J72)</f>
        <v>53530381.722662926</v>
      </c>
      <c r="D72" s="208">
        <f>'Page 1.5'!D72+'Page 1.6'!D72</f>
        <v>0</v>
      </c>
      <c r="E72" s="208">
        <f>'Page 1.5'!E72+'Page 1.6'!E72</f>
        <v>-125695.50214021644</v>
      </c>
      <c r="F72" s="208">
        <f>'Page 1.5'!F72+'Page 1.6'!F72</f>
        <v>363284.68898450816</v>
      </c>
      <c r="G72" s="208">
        <f>'Page 1.5'!G72+'Page 1.6'!G72</f>
        <v>0</v>
      </c>
      <c r="H72" s="208">
        <f>'Page 1.5'!H72+'Page 1.6'!H72</f>
        <v>18519239.893237747</v>
      </c>
      <c r="I72" s="208">
        <f>'Page 1.5'!I72+'Page 1.6'!I72</f>
        <v>35419073.653727017</v>
      </c>
      <c r="J72" s="208">
        <f>'Page 1.5'!J72+'Page 1.6'!J72</f>
        <v>-645521.01114613097</v>
      </c>
    </row>
    <row r="73" spans="1:10" x14ac:dyDescent="0.2">
      <c r="A73" s="196">
        <v>69</v>
      </c>
      <c r="B73" s="201" t="s">
        <v>104</v>
      </c>
      <c r="C73" s="209">
        <f>SUM(D73:J73)</f>
        <v>-9516146.8627757616</v>
      </c>
      <c r="D73" s="209">
        <f>D67-D69-D70+D71-D72</f>
        <v>23376045.359228432</v>
      </c>
      <c r="E73" s="209">
        <f t="shared" ref="E73:I73" si="30">E67-E69-E70+E71-E72</f>
        <v>-3050466.6633292176</v>
      </c>
      <c r="F73" s="209">
        <f t="shared" si="30"/>
        <v>8899633.0249848012</v>
      </c>
      <c r="G73" s="209">
        <f t="shared" si="30"/>
        <v>6751233.4106348455</v>
      </c>
      <c r="H73" s="209">
        <f t="shared" si="30"/>
        <v>-38422993.834483601</v>
      </c>
      <c r="I73" s="209">
        <f t="shared" si="30"/>
        <v>-16487177.611138958</v>
      </c>
      <c r="J73" s="209">
        <f t="shared" ref="J73" si="31">J67-J69-J70+J71-J72</f>
        <v>9417579.4513279349</v>
      </c>
    </row>
    <row r="74" spans="1:10" x14ac:dyDescent="0.2">
      <c r="A74" s="196">
        <v>70</v>
      </c>
      <c r="B74" s="196"/>
      <c r="C74" s="210"/>
      <c r="D74" s="210"/>
      <c r="E74" s="210"/>
      <c r="F74" s="210"/>
      <c r="G74" s="210"/>
      <c r="H74" s="210"/>
      <c r="I74" s="210"/>
      <c r="J74" s="210"/>
    </row>
    <row r="75" spans="1:10" x14ac:dyDescent="0.2">
      <c r="A75" s="196">
        <v>71</v>
      </c>
      <c r="B75" s="196" t="s">
        <v>105</v>
      </c>
      <c r="C75" s="200">
        <f>SUM(D75:J75)</f>
        <v>0</v>
      </c>
      <c r="D75" s="200">
        <f>C162</f>
        <v>0</v>
      </c>
      <c r="E75" s="200">
        <f>C277</f>
        <v>0</v>
      </c>
      <c r="F75" s="200">
        <f>C391</f>
        <v>0</v>
      </c>
      <c r="G75" s="200">
        <f>C505</f>
        <v>0</v>
      </c>
      <c r="H75" s="200">
        <f>C620</f>
        <v>0</v>
      </c>
      <c r="I75" s="200">
        <f>C735</f>
        <v>0</v>
      </c>
      <c r="J75" s="200">
        <f>D735</f>
        <v>0</v>
      </c>
    </row>
    <row r="76" spans="1:10" x14ac:dyDescent="0.2">
      <c r="A76" s="196">
        <v>72</v>
      </c>
      <c r="B76" s="196" t="s">
        <v>106</v>
      </c>
      <c r="C76" s="200">
        <f>SUM(D76:J76)</f>
        <v>-9516146.8627757616</v>
      </c>
      <c r="D76" s="200">
        <f>D73-D75</f>
        <v>23376045.359228432</v>
      </c>
      <c r="E76" s="200">
        <f t="shared" ref="E76:I76" si="32">E73-E75</f>
        <v>-3050466.6633292176</v>
      </c>
      <c r="F76" s="200">
        <f t="shared" si="32"/>
        <v>8899633.0249848012</v>
      </c>
      <c r="G76" s="200">
        <f t="shared" si="32"/>
        <v>6751233.4106348455</v>
      </c>
      <c r="H76" s="200">
        <f t="shared" si="32"/>
        <v>-38422993.834483601</v>
      </c>
      <c r="I76" s="200">
        <f t="shared" si="32"/>
        <v>-16487177.611138958</v>
      </c>
      <c r="J76" s="200">
        <f t="shared" ref="J76" si="33">J73-J75</f>
        <v>9417579.4513279349</v>
      </c>
    </row>
    <row r="77" spans="1:10" x14ac:dyDescent="0.2">
      <c r="A77" s="196">
        <v>73</v>
      </c>
      <c r="B77" s="196"/>
    </row>
    <row r="78" spans="1:10" x14ac:dyDescent="0.2">
      <c r="A78" s="196">
        <v>74</v>
      </c>
      <c r="B78" s="196" t="s">
        <v>133</v>
      </c>
      <c r="C78" s="210">
        <f>SUM(D78:J78)</f>
        <v>-1998390.8411829104</v>
      </c>
      <c r="D78" s="210">
        <f t="shared" ref="D78:J78" si="34">D76*0.21</f>
        <v>4908969.5254379706</v>
      </c>
      <c r="E78" s="210">
        <f t="shared" si="34"/>
        <v>-640597.99929913564</v>
      </c>
      <c r="F78" s="210">
        <f t="shared" si="34"/>
        <v>1868922.9352468082</v>
      </c>
      <c r="G78" s="210">
        <f t="shared" si="34"/>
        <v>1417759.0162333176</v>
      </c>
      <c r="H78" s="210">
        <f t="shared" si="34"/>
        <v>-8068828.7052415563</v>
      </c>
      <c r="I78" s="210">
        <f t="shared" si="34"/>
        <v>-3462307.2983391811</v>
      </c>
      <c r="J78" s="210">
        <f t="shared" si="34"/>
        <v>1977691.6847788664</v>
      </c>
    </row>
    <row r="79" spans="1:10" x14ac:dyDescent="0.2">
      <c r="A79" s="196">
        <v>75</v>
      </c>
      <c r="B79" s="196" t="s">
        <v>132</v>
      </c>
      <c r="C79" s="210">
        <f>SUM(D79:J79)</f>
        <v>-14008794.664235296</v>
      </c>
      <c r="D79" s="210">
        <f>'Page 1.5'!D79+'Page 1.6'!D79</f>
        <v>0</v>
      </c>
      <c r="E79" s="210">
        <f>'Page 1.5'!E79+'Page 1.6'!E79</f>
        <v>0</v>
      </c>
      <c r="F79" s="210">
        <f>'Page 1.5'!F79+'Page 1.6'!F79</f>
        <v>0</v>
      </c>
      <c r="G79" s="210">
        <f>'Page 1.5'!G79+'Page 1.6'!G79</f>
        <v>0</v>
      </c>
      <c r="H79" s="210">
        <f>'Page 1.5'!H79+'Page 1.6'!H79</f>
        <v>-14008794.664235296</v>
      </c>
      <c r="I79" s="210">
        <f>'Page 1.5'!I79+'Page 1.6'!I79</f>
        <v>0</v>
      </c>
      <c r="J79" s="210">
        <f>'Page 1.5'!J79+'Page 1.6'!J79</f>
        <v>0</v>
      </c>
    </row>
    <row r="80" spans="1:10" ht="13.5" thickBot="1" x14ac:dyDescent="0.25">
      <c r="A80" s="196">
        <v>76</v>
      </c>
      <c r="B80" s="196" t="s">
        <v>133</v>
      </c>
      <c r="C80" s="211">
        <f>SUM(D80:J80)</f>
        <v>-16007185.505418207</v>
      </c>
      <c r="D80" s="211">
        <f>D78+D79</f>
        <v>4908969.5254379706</v>
      </c>
      <c r="E80" s="211">
        <f t="shared" ref="E80:I80" si="35">E78+E79</f>
        <v>-640597.99929913564</v>
      </c>
      <c r="F80" s="211">
        <f t="shared" si="35"/>
        <v>1868922.9352468082</v>
      </c>
      <c r="G80" s="211">
        <f t="shared" si="35"/>
        <v>1417759.0162333176</v>
      </c>
      <c r="H80" s="211">
        <f t="shared" si="35"/>
        <v>-22077623.369476851</v>
      </c>
      <c r="I80" s="211">
        <f t="shared" si="35"/>
        <v>-3462307.2983391811</v>
      </c>
      <c r="J80" s="211">
        <f t="shared" ref="J80" si="36">J78+J79</f>
        <v>1977691.6847788664</v>
      </c>
    </row>
    <row r="81" ht="13.5" thickTop="1" x14ac:dyDescent="0.2"/>
  </sheetData>
  <mergeCells count="1">
    <mergeCell ref="B1:I1"/>
  </mergeCells>
  <pageMargins left="0.5" right="0.5" top="0.4" bottom="0.25" header="0.25" footer="0.3"/>
  <pageSetup scale="72" orientation="portrait" r:id="rId1"/>
  <headerFooter>
    <oddHeader>&amp;R&amp;A</oddHeader>
  </headerFooter>
  <customProperties>
    <customPr name="_pios_id" r:id="rId2"/>
  </customProperties>
  <ignoredErrors>
    <ignoredError sqref="C23 C2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J81"/>
  <sheetViews>
    <sheetView view="pageBreakPreview" zoomScale="80" zoomScaleNormal="80" zoomScaleSheetLayoutView="80" workbookViewId="0"/>
  </sheetViews>
  <sheetFormatPr defaultRowHeight="12.75" x14ac:dyDescent="0.2"/>
  <cols>
    <col min="1" max="1" width="5.140625" style="212" customWidth="1"/>
    <col min="2" max="2" width="25.140625" style="212" bestFit="1" customWidth="1"/>
    <col min="3" max="10" width="12.7109375" style="212" customWidth="1"/>
    <col min="11" max="16384" width="9.140625" style="212"/>
  </cols>
  <sheetData>
    <row r="1" spans="1:10" x14ac:dyDescent="0.2">
      <c r="B1" s="290" t="s">
        <v>185</v>
      </c>
      <c r="C1" s="290"/>
      <c r="D1" s="290"/>
      <c r="E1" s="290"/>
      <c r="F1" s="290"/>
      <c r="G1" s="290"/>
      <c r="H1" s="290"/>
      <c r="I1" s="290"/>
      <c r="J1" s="163"/>
    </row>
    <row r="3" spans="1:10" ht="51" x14ac:dyDescent="0.2">
      <c r="C3" s="213" t="s">
        <v>158</v>
      </c>
      <c r="D3" s="213" t="s">
        <v>167</v>
      </c>
      <c r="E3" s="213" t="s">
        <v>168</v>
      </c>
      <c r="F3" s="213" t="s">
        <v>169</v>
      </c>
      <c r="G3" s="213" t="s">
        <v>170</v>
      </c>
      <c r="H3" s="213" t="s">
        <v>171</v>
      </c>
      <c r="I3" s="213" t="s">
        <v>249</v>
      </c>
      <c r="J3" s="213" t="s">
        <v>314</v>
      </c>
    </row>
    <row r="5" spans="1:10" x14ac:dyDescent="0.2">
      <c r="A5" s="214">
        <v>1</v>
      </c>
      <c r="B5" s="214" t="s">
        <v>45</v>
      </c>
    </row>
    <row r="6" spans="1:10" x14ac:dyDescent="0.2">
      <c r="A6" s="214">
        <v>2</v>
      </c>
      <c r="B6" s="214" t="s">
        <v>46</v>
      </c>
      <c r="C6" s="215">
        <f>SUM(D6:J6)</f>
        <v>22605198.140773375</v>
      </c>
      <c r="D6" s="215">
        <f>SUM('Restating Adj'!C12:F12)</f>
        <v>22857401.870773375</v>
      </c>
      <c r="E6" s="215">
        <f>SUM('Restating Adj'!G12:S12)</f>
        <v>-252203.73</v>
      </c>
      <c r="F6" s="215">
        <f>SUM('Restating Adj'!T12:X12)</f>
        <v>0</v>
      </c>
      <c r="G6" s="215">
        <f>SUM('Restating Adj'!Y12:AC12)</f>
        <v>0</v>
      </c>
      <c r="H6" s="215">
        <f>SUM('Restating Adj'!AD12:AO12)</f>
        <v>0</v>
      </c>
      <c r="I6" s="215">
        <f>SUM('Restating Adj'!AP12:BC12)</f>
        <v>0</v>
      </c>
      <c r="J6" s="215">
        <f>SUM('Restating Adj'!BD12:BG12)</f>
        <v>0</v>
      </c>
    </row>
    <row r="7" spans="1:10" x14ac:dyDescent="0.2">
      <c r="A7" s="214">
        <v>3</v>
      </c>
      <c r="B7" s="214" t="s">
        <v>47</v>
      </c>
      <c r="C7" s="215">
        <f>SUM(D7:J7)</f>
        <v>0</v>
      </c>
      <c r="D7" s="215">
        <f>SUM('Restating Adj'!C13:F13)</f>
        <v>0</v>
      </c>
      <c r="E7" s="215">
        <f>SUM('Restating Adj'!G13:S13)</f>
        <v>0</v>
      </c>
      <c r="F7" s="215">
        <f>SUM('Restating Adj'!T13:X13)</f>
        <v>0</v>
      </c>
      <c r="G7" s="215">
        <f>SUM('Restating Adj'!Y13:AC13)</f>
        <v>0</v>
      </c>
      <c r="H7" s="215">
        <f>SUM('Restating Adj'!AD13:AO13)</f>
        <v>0</v>
      </c>
      <c r="I7" s="215">
        <f>SUM('Restating Adj'!AP13:BC13)</f>
        <v>0</v>
      </c>
      <c r="J7" s="215">
        <f>SUM('Restating Adj'!BD13:BG13)</f>
        <v>0</v>
      </c>
    </row>
    <row r="8" spans="1:10" x14ac:dyDescent="0.2">
      <c r="A8" s="214">
        <v>4</v>
      </c>
      <c r="B8" s="214" t="s">
        <v>48</v>
      </c>
      <c r="C8" s="215">
        <f>SUM(D8:J8)</f>
        <v>0</v>
      </c>
      <c r="D8" s="215">
        <f>SUM('Restating Adj'!C14:F14)</f>
        <v>0</v>
      </c>
      <c r="E8" s="215">
        <f>SUM('Restating Adj'!G14:S14)</f>
        <v>0</v>
      </c>
      <c r="F8" s="215">
        <f>SUM('Restating Adj'!T14:X14)</f>
        <v>0</v>
      </c>
      <c r="G8" s="215">
        <f>SUM('Restating Adj'!Y14:AC14)</f>
        <v>0</v>
      </c>
      <c r="H8" s="215">
        <f>SUM('Restating Adj'!AD14:AO14)</f>
        <v>0</v>
      </c>
      <c r="I8" s="215">
        <f>SUM('Restating Adj'!AP14:BC14)</f>
        <v>0</v>
      </c>
      <c r="J8" s="215">
        <f>SUM('Restating Adj'!BD14:BG14)</f>
        <v>0</v>
      </c>
    </row>
    <row r="9" spans="1:10" x14ac:dyDescent="0.2">
      <c r="A9" s="214">
        <v>5</v>
      </c>
      <c r="B9" s="214" t="s">
        <v>49</v>
      </c>
      <c r="C9" s="215">
        <f>SUM(D9:J9)</f>
        <v>-105882.16327527266</v>
      </c>
      <c r="D9" s="215">
        <f>SUM('Restating Adj'!C15:F15)</f>
        <v>-105882.16327527266</v>
      </c>
      <c r="E9" s="215">
        <f>SUM('Restating Adj'!G15:S15)</f>
        <v>0</v>
      </c>
      <c r="F9" s="215">
        <f>SUM('Restating Adj'!T15:X15)</f>
        <v>0</v>
      </c>
      <c r="G9" s="215">
        <f>SUM('Restating Adj'!Y15:AC15)</f>
        <v>0</v>
      </c>
      <c r="H9" s="215">
        <f>SUM('Restating Adj'!AD15:AO15)</f>
        <v>0</v>
      </c>
      <c r="I9" s="215">
        <f>SUM('Restating Adj'!AP15:BC15)</f>
        <v>0</v>
      </c>
      <c r="J9" s="215">
        <f>SUM('Restating Adj'!BD15:BG15)</f>
        <v>0</v>
      </c>
    </row>
    <row r="10" spans="1:10" x14ac:dyDescent="0.2">
      <c r="A10" s="214">
        <v>6</v>
      </c>
      <c r="B10" s="214" t="s">
        <v>50</v>
      </c>
      <c r="C10" s="216">
        <f>SUM(C6:C9)</f>
        <v>22499315.977498103</v>
      </c>
      <c r="D10" s="216">
        <f t="shared" ref="D10:I10" si="0">SUM(D6:D9)</f>
        <v>22751519.707498103</v>
      </c>
      <c r="E10" s="216">
        <f t="shared" si="0"/>
        <v>-252203.73</v>
      </c>
      <c r="F10" s="216">
        <f t="shared" si="0"/>
        <v>0</v>
      </c>
      <c r="G10" s="216">
        <f t="shared" si="0"/>
        <v>0</v>
      </c>
      <c r="H10" s="216">
        <f t="shared" si="0"/>
        <v>0</v>
      </c>
      <c r="I10" s="216">
        <f t="shared" si="0"/>
        <v>0</v>
      </c>
      <c r="J10" s="216">
        <f t="shared" ref="J10" si="1">SUM(J6:J9)</f>
        <v>0</v>
      </c>
    </row>
    <row r="11" spans="1:10" x14ac:dyDescent="0.2">
      <c r="A11" s="214">
        <v>7</v>
      </c>
      <c r="B11" s="214"/>
    </row>
    <row r="12" spans="1:10" x14ac:dyDescent="0.2">
      <c r="A12" s="214">
        <v>8</v>
      </c>
      <c r="B12" s="214" t="s">
        <v>51</v>
      </c>
    </row>
    <row r="13" spans="1:10" x14ac:dyDescent="0.2">
      <c r="A13" s="214">
        <v>9</v>
      </c>
      <c r="B13" s="214" t="s">
        <v>52</v>
      </c>
      <c r="C13" s="215">
        <f t="shared" ref="C13:C22" si="2">SUM(D13:J13)</f>
        <v>-497998.15233261522</v>
      </c>
      <c r="D13" s="215">
        <f>SUM('Restating Adj'!C19:F19)</f>
        <v>0</v>
      </c>
      <c r="E13" s="215">
        <f>SUM('Restating Adj'!G19:S19)</f>
        <v>31038.910210584381</v>
      </c>
      <c r="F13" s="215">
        <f>SUM('Restating Adj'!T19:X19)</f>
        <v>-529037.06254319963</v>
      </c>
      <c r="G13" s="215">
        <f>SUM('Restating Adj'!Y19:AC19)</f>
        <v>0</v>
      </c>
      <c r="H13" s="215">
        <f>SUM('Restating Adj'!AD19:AO19)</f>
        <v>0</v>
      </c>
      <c r="I13" s="215">
        <f>SUM('Restating Adj'!AP19:BC19)</f>
        <v>0</v>
      </c>
      <c r="J13" s="215">
        <f>SUM('Restating Adj'!BD19:BG19)</f>
        <v>0</v>
      </c>
    </row>
    <row r="14" spans="1:10" x14ac:dyDescent="0.2">
      <c r="A14" s="214">
        <v>10</v>
      </c>
      <c r="B14" s="214" t="s">
        <v>53</v>
      </c>
      <c r="C14" s="215">
        <f t="shared" si="2"/>
        <v>0</v>
      </c>
      <c r="D14" s="215">
        <f>SUM('Restating Adj'!C20:F20)</f>
        <v>0</v>
      </c>
      <c r="E14" s="215">
        <f>SUM('Restating Adj'!G20:S20)</f>
        <v>0</v>
      </c>
      <c r="F14" s="215">
        <f>SUM('Restating Adj'!T20:X20)</f>
        <v>0</v>
      </c>
      <c r="G14" s="215">
        <f>SUM('Restating Adj'!Y20:AC20)</f>
        <v>0</v>
      </c>
      <c r="H14" s="215">
        <f>SUM('Restating Adj'!AD20:AO20)</f>
        <v>0</v>
      </c>
      <c r="I14" s="215">
        <f>SUM('Restating Adj'!AP20:BC20)</f>
        <v>0</v>
      </c>
      <c r="J14" s="215">
        <f>SUM('Restating Adj'!BD20:BG20)</f>
        <v>0</v>
      </c>
    </row>
    <row r="15" spans="1:10" x14ac:dyDescent="0.2">
      <c r="A15" s="214">
        <v>11</v>
      </c>
      <c r="B15" s="214" t="s">
        <v>54</v>
      </c>
      <c r="C15" s="215">
        <f t="shared" si="2"/>
        <v>19916.905241114458</v>
      </c>
      <c r="D15" s="215">
        <f>SUM('Restating Adj'!C21:F21)</f>
        <v>0</v>
      </c>
      <c r="E15" s="215">
        <f>SUM('Restating Adj'!G21:S21)</f>
        <v>19916.905241114458</v>
      </c>
      <c r="F15" s="215">
        <f>SUM('Restating Adj'!T21:X21)</f>
        <v>0</v>
      </c>
      <c r="G15" s="215">
        <f>SUM('Restating Adj'!Y21:AC21)</f>
        <v>0</v>
      </c>
      <c r="H15" s="215">
        <f>SUM('Restating Adj'!AD21:AO21)</f>
        <v>0</v>
      </c>
      <c r="I15" s="215">
        <f>SUM('Restating Adj'!AP21:BC21)</f>
        <v>0</v>
      </c>
      <c r="J15" s="215">
        <f>SUM('Restating Adj'!BD21:BG21)</f>
        <v>0</v>
      </c>
    </row>
    <row r="16" spans="1:10" x14ac:dyDescent="0.2">
      <c r="A16" s="214">
        <v>12</v>
      </c>
      <c r="B16" s="214" t="s">
        <v>55</v>
      </c>
      <c r="C16" s="215">
        <f t="shared" si="2"/>
        <v>-5518909.259914171</v>
      </c>
      <c r="D16" s="215">
        <f>SUM('Restating Adj'!C22:F22)</f>
        <v>0</v>
      </c>
      <c r="E16" s="215">
        <f>SUM('Restating Adj'!G22:S22)</f>
        <v>156721.89042246965</v>
      </c>
      <c r="F16" s="215">
        <f>SUM('Restating Adj'!T22:X22)</f>
        <v>-5675631.1503366409</v>
      </c>
      <c r="G16" s="215">
        <f>SUM('Restating Adj'!Y22:AC22)</f>
        <v>0</v>
      </c>
      <c r="H16" s="215">
        <f>SUM('Restating Adj'!AD22:AO22)</f>
        <v>0</v>
      </c>
      <c r="I16" s="215">
        <f>SUM('Restating Adj'!AP22:BC22)</f>
        <v>0</v>
      </c>
      <c r="J16" s="215">
        <f>SUM('Restating Adj'!BD22:BG22)</f>
        <v>0</v>
      </c>
    </row>
    <row r="17" spans="1:10" x14ac:dyDescent="0.2">
      <c r="A17" s="214">
        <v>13</v>
      </c>
      <c r="B17" s="214" t="s">
        <v>56</v>
      </c>
      <c r="C17" s="215">
        <f t="shared" si="2"/>
        <v>-317434.99357527972</v>
      </c>
      <c r="D17" s="215">
        <f>SUM('Restating Adj'!C23:F23)</f>
        <v>0</v>
      </c>
      <c r="E17" s="215">
        <f>SUM('Restating Adj'!G23:S23)</f>
        <v>-317434.99357528018</v>
      </c>
      <c r="F17" s="215">
        <f>SUM('Restating Adj'!T23:X23)</f>
        <v>4.6566128730773926E-10</v>
      </c>
      <c r="G17" s="215">
        <f>SUM('Restating Adj'!Y23:AC23)</f>
        <v>0</v>
      </c>
      <c r="H17" s="215">
        <f>SUM('Restating Adj'!AD23:AO23)</f>
        <v>0</v>
      </c>
      <c r="I17" s="215">
        <f>SUM('Restating Adj'!AP23:BC23)</f>
        <v>0</v>
      </c>
      <c r="J17" s="215">
        <f>SUM('Restating Adj'!BD23:BG23)</f>
        <v>0</v>
      </c>
    </row>
    <row r="18" spans="1:10" x14ac:dyDescent="0.2">
      <c r="A18" s="214">
        <v>14</v>
      </c>
      <c r="B18" s="214" t="s">
        <v>57</v>
      </c>
      <c r="C18" s="215">
        <f t="shared" si="2"/>
        <v>219958.42013111283</v>
      </c>
      <c r="D18" s="215">
        <f>SUM('Restating Adj'!C24:F24)</f>
        <v>0</v>
      </c>
      <c r="E18" s="215">
        <f>SUM('Restating Adj'!G24:S24)</f>
        <v>219958.42013111283</v>
      </c>
      <c r="F18" s="215">
        <f>SUM('Restating Adj'!T24:X24)</f>
        <v>0</v>
      </c>
      <c r="G18" s="215">
        <f>SUM('Restating Adj'!Y24:AC24)</f>
        <v>0</v>
      </c>
      <c r="H18" s="215">
        <f>SUM('Restating Adj'!AD24:AO24)</f>
        <v>0</v>
      </c>
      <c r="I18" s="215">
        <f>SUM('Restating Adj'!AP24:BC24)</f>
        <v>0</v>
      </c>
      <c r="J18" s="215">
        <f>SUM('Restating Adj'!BD24:BG24)</f>
        <v>0</v>
      </c>
    </row>
    <row r="19" spans="1:10" x14ac:dyDescent="0.2">
      <c r="A19" s="214">
        <v>15</v>
      </c>
      <c r="B19" s="214" t="s">
        <v>58</v>
      </c>
      <c r="C19" s="215">
        <f t="shared" si="2"/>
        <v>100459.48209091679</v>
      </c>
      <c r="D19" s="215">
        <f>SUM('Restating Adj'!C25:F25)</f>
        <v>0</v>
      </c>
      <c r="E19" s="215">
        <f>SUM('Restating Adj'!G25:S25)</f>
        <v>100459.48209091679</v>
      </c>
      <c r="F19" s="215">
        <f>SUM('Restating Adj'!T25:X25)</f>
        <v>0</v>
      </c>
      <c r="G19" s="215">
        <f>SUM('Restating Adj'!Y25:AC25)</f>
        <v>0</v>
      </c>
      <c r="H19" s="215">
        <f>SUM('Restating Adj'!AD25:AO25)</f>
        <v>0</v>
      </c>
      <c r="I19" s="215">
        <f>SUM('Restating Adj'!AP25:BC25)</f>
        <v>0</v>
      </c>
      <c r="J19" s="215">
        <f>SUM('Restating Adj'!BD25:BG25)</f>
        <v>0</v>
      </c>
    </row>
    <row r="20" spans="1:10" x14ac:dyDescent="0.2">
      <c r="A20" s="214">
        <v>16</v>
      </c>
      <c r="B20" s="214" t="s">
        <v>59</v>
      </c>
      <c r="C20" s="215">
        <f t="shared" si="2"/>
        <v>6542.2769399854187</v>
      </c>
      <c r="D20" s="215">
        <f>SUM('Restating Adj'!C26:F26)</f>
        <v>0</v>
      </c>
      <c r="E20" s="215">
        <f>SUM('Restating Adj'!G26:S26)</f>
        <v>6542.2769399854187</v>
      </c>
      <c r="F20" s="215">
        <f>SUM('Restating Adj'!T26:X26)</f>
        <v>0</v>
      </c>
      <c r="G20" s="215">
        <f>SUM('Restating Adj'!Y26:AC26)</f>
        <v>0</v>
      </c>
      <c r="H20" s="215">
        <f>SUM('Restating Adj'!AD26:AO26)</f>
        <v>0</v>
      </c>
      <c r="I20" s="215">
        <f>SUM('Restating Adj'!AP26:BC26)</f>
        <v>0</v>
      </c>
      <c r="J20" s="215">
        <f>SUM('Restating Adj'!BD26:BG26)</f>
        <v>0</v>
      </c>
    </row>
    <row r="21" spans="1:10" x14ac:dyDescent="0.2">
      <c r="A21" s="214">
        <v>17</v>
      </c>
      <c r="B21" s="214" t="s">
        <v>60</v>
      </c>
      <c r="C21" s="215">
        <f t="shared" si="2"/>
        <v>0</v>
      </c>
      <c r="D21" s="215">
        <f>SUM('Restating Adj'!C27:F27)</f>
        <v>0</v>
      </c>
      <c r="E21" s="215">
        <f>SUM('Restating Adj'!G27:S27)</f>
        <v>0</v>
      </c>
      <c r="F21" s="215">
        <f>SUM('Restating Adj'!T27:X27)</f>
        <v>0</v>
      </c>
      <c r="G21" s="215">
        <f>SUM('Restating Adj'!Y27:AC27)</f>
        <v>0</v>
      </c>
      <c r="H21" s="215">
        <f>SUM('Restating Adj'!AD27:AO27)</f>
        <v>0</v>
      </c>
      <c r="I21" s="215">
        <f>SUM('Restating Adj'!AP27:BC27)</f>
        <v>0</v>
      </c>
      <c r="J21" s="215">
        <f>SUM('Restating Adj'!BD27:BG27)</f>
        <v>0</v>
      </c>
    </row>
    <row r="22" spans="1:10" x14ac:dyDescent="0.2">
      <c r="A22" s="214">
        <v>18</v>
      </c>
      <c r="B22" s="214" t="s">
        <v>61</v>
      </c>
      <c r="C22" s="217">
        <f t="shared" si="2"/>
        <v>-15118.422651971403</v>
      </c>
      <c r="D22" s="217">
        <f>SUM('Restating Adj'!C28:F28)</f>
        <v>0</v>
      </c>
      <c r="E22" s="215">
        <f>SUM('Restating Adj'!G28:S28)</f>
        <v>-11103.553868342169</v>
      </c>
      <c r="F22" s="217">
        <f>SUM('Restating Adj'!T28:X28)</f>
        <v>-4014.8687836292347</v>
      </c>
      <c r="G22" s="217">
        <f>SUM('Restating Adj'!Y28:AC28)</f>
        <v>0</v>
      </c>
      <c r="H22" s="215">
        <f>SUM('Restating Adj'!AD28:AO28)</f>
        <v>0</v>
      </c>
      <c r="I22" s="215">
        <f>SUM('Restating Adj'!AP28:BC28)</f>
        <v>0</v>
      </c>
      <c r="J22" s="215">
        <f>SUM('Restating Adj'!BD28:BG28)</f>
        <v>0</v>
      </c>
    </row>
    <row r="23" spans="1:10" x14ac:dyDescent="0.2">
      <c r="A23" s="214">
        <v>19</v>
      </c>
      <c r="B23" s="214" t="s">
        <v>62</v>
      </c>
      <c r="C23" s="218">
        <f>SUM(C13:C22)</f>
        <v>-6002583.744070909</v>
      </c>
      <c r="D23" s="218">
        <f t="shared" ref="D23:I23" si="3">SUM(D13:D22)</f>
        <v>0</v>
      </c>
      <c r="E23" s="218">
        <f t="shared" si="3"/>
        <v>206099.33759256121</v>
      </c>
      <c r="F23" s="218">
        <f t="shared" si="3"/>
        <v>-6208683.0816634698</v>
      </c>
      <c r="G23" s="218">
        <f t="shared" si="3"/>
        <v>0</v>
      </c>
      <c r="H23" s="218">
        <f t="shared" si="3"/>
        <v>0</v>
      </c>
      <c r="I23" s="218">
        <f t="shared" si="3"/>
        <v>0</v>
      </c>
      <c r="J23" s="218">
        <f t="shared" ref="J23" si="4">SUM(J13:J22)</f>
        <v>0</v>
      </c>
    </row>
    <row r="24" spans="1:10" x14ac:dyDescent="0.2">
      <c r="A24" s="214">
        <v>20</v>
      </c>
      <c r="B24" s="214" t="s">
        <v>63</v>
      </c>
      <c r="C24" s="215">
        <f>SUM(D24:J24)</f>
        <v>-485148.8497193756</v>
      </c>
      <c r="D24" s="215">
        <f>SUM('Restating Adj'!C30:F30)</f>
        <v>0</v>
      </c>
      <c r="E24" s="215">
        <f>SUM('Restating Adj'!G30:S30)</f>
        <v>-485148.8497193756</v>
      </c>
      <c r="F24" s="215">
        <f>SUM('Restating Adj'!T30:X30)</f>
        <v>0</v>
      </c>
      <c r="G24" s="215">
        <f>SUM('Restating Adj'!Y30:AC30)</f>
        <v>0</v>
      </c>
      <c r="H24" s="215">
        <f>SUM('Restating Adj'!AD30:AO30)</f>
        <v>0</v>
      </c>
      <c r="I24" s="215">
        <f>SUM('Restating Adj'!AP30:BC30)</f>
        <v>0</v>
      </c>
      <c r="J24" s="215">
        <f>SUM('Restating Adj'!BD30:BG30)</f>
        <v>0</v>
      </c>
    </row>
    <row r="25" spans="1:10" x14ac:dyDescent="0.2">
      <c r="A25" s="214">
        <v>21</v>
      </c>
      <c r="B25" s="214" t="s">
        <v>64</v>
      </c>
      <c r="C25" s="215">
        <f>SUM(D25:J25)</f>
        <v>0</v>
      </c>
      <c r="D25" s="215">
        <f>SUM('Restating Adj'!C31:F31)</f>
        <v>0</v>
      </c>
      <c r="E25" s="215">
        <f>SUM('Restating Adj'!G31:S31)</f>
        <v>0</v>
      </c>
      <c r="F25" s="215">
        <f>SUM('Restating Adj'!T31:X31)</f>
        <v>0</v>
      </c>
      <c r="G25" s="215">
        <f>SUM('Restating Adj'!Y31:AC31)</f>
        <v>0</v>
      </c>
      <c r="H25" s="215">
        <f>SUM('Restating Adj'!AD31:AO31)</f>
        <v>0</v>
      </c>
      <c r="I25" s="215">
        <f>SUM('Restating Adj'!AP31:BC31)</f>
        <v>0</v>
      </c>
      <c r="J25" s="215">
        <f>SUM('Restating Adj'!BD31:BG31)</f>
        <v>0</v>
      </c>
    </row>
    <row r="26" spans="1:10" x14ac:dyDescent="0.2">
      <c r="A26" s="214">
        <v>22</v>
      </c>
      <c r="B26" s="214" t="s">
        <v>65</v>
      </c>
      <c r="C26" s="215">
        <f>SUM(D26:J26)</f>
        <v>-287844.94099917886</v>
      </c>
      <c r="D26" s="215">
        <f>SUM('Restating Adj'!C32:F32)</f>
        <v>0</v>
      </c>
      <c r="E26" s="215">
        <f>SUM('Restating Adj'!G32:S32)</f>
        <v>0</v>
      </c>
      <c r="F26" s="215">
        <f>SUM('Restating Adj'!T32:X32)</f>
        <v>-37468.940999178878</v>
      </c>
      <c r="G26" s="215">
        <f>SUM('Restating Adj'!Y32:AC32)</f>
        <v>0</v>
      </c>
      <c r="H26" s="215">
        <f>SUM('Restating Adj'!AD32:AO32)</f>
        <v>-250376</v>
      </c>
      <c r="I26" s="215">
        <f>SUM('Restating Adj'!AP32:BC32)</f>
        <v>0</v>
      </c>
      <c r="J26" s="215">
        <f>SUM('Restating Adj'!BD32:BG32)</f>
        <v>0</v>
      </c>
    </row>
    <row r="27" spans="1:10" x14ac:dyDescent="0.2">
      <c r="A27" s="214">
        <v>23</v>
      </c>
      <c r="B27" s="214" t="s">
        <v>159</v>
      </c>
      <c r="C27" s="215">
        <f>C80</f>
        <v>6872894.5879040658</v>
      </c>
      <c r="D27" s="215">
        <f>SUM('Restating Adj'!C33:F33)</f>
        <v>4777819.1385746012</v>
      </c>
      <c r="E27" s="215">
        <f>SUM('Restating Adj'!G33:S33)</f>
        <v>-51730.656462545405</v>
      </c>
      <c r="F27" s="215">
        <f>SUM('Restating Adj'!T33:X33)</f>
        <v>1246311.5645551702</v>
      </c>
      <c r="G27" s="215">
        <f>SUM('Restating Adj'!Y33:AC33)</f>
        <v>0</v>
      </c>
      <c r="H27" s="215">
        <f>SUM('Restating Adj'!AD33:AO33)</f>
        <v>913182.65723684093</v>
      </c>
      <c r="I27" s="215">
        <f t="shared" ref="I27" si="5">I80</f>
        <v>-12688.116</v>
      </c>
      <c r="J27" s="215">
        <f>SUM('Restating Adj'!BD33:BG33)</f>
        <v>0</v>
      </c>
    </row>
    <row r="28" spans="1:10" x14ac:dyDescent="0.2">
      <c r="A28" s="214">
        <v>24</v>
      </c>
      <c r="B28" s="214" t="s">
        <v>160</v>
      </c>
      <c r="C28" s="215">
        <f>SUM(D28:J28)</f>
        <v>0</v>
      </c>
      <c r="D28" s="215">
        <f>SUM('Restating Adj'!C34:F34)</f>
        <v>0</v>
      </c>
      <c r="E28" s="215">
        <f>SUM('Restating Adj'!G34:S34)</f>
        <v>0</v>
      </c>
      <c r="F28" s="215">
        <f>SUM('Restating Adj'!T34:X34)</f>
        <v>0</v>
      </c>
      <c r="G28" s="215">
        <f>SUM('Restating Adj'!Y34:AC34)</f>
        <v>0</v>
      </c>
      <c r="H28" s="215">
        <f>SUM('Restating Adj'!AD34:AO34)</f>
        <v>0</v>
      </c>
      <c r="I28" s="215">
        <f>C685</f>
        <v>0</v>
      </c>
      <c r="J28" s="215">
        <f>SUM('Restating Adj'!BD34:BG34)</f>
        <v>0</v>
      </c>
    </row>
    <row r="29" spans="1:10" x14ac:dyDescent="0.2">
      <c r="A29" s="214">
        <v>25</v>
      </c>
      <c r="B29" s="214" t="s">
        <v>161</v>
      </c>
      <c r="C29" s="215">
        <f>SUM(D29:J29)</f>
        <v>-4911050.4623990003</v>
      </c>
      <c r="D29" s="215">
        <f>SUM('Restating Adj'!C35:F35)</f>
        <v>0</v>
      </c>
      <c r="E29" s="215">
        <f>SUM('Restating Adj'!G35:S35)</f>
        <v>1974.7413444922713</v>
      </c>
      <c r="F29" s="215">
        <f>SUM('Restating Adj'!T35:X35)</f>
        <v>82991.056256507218</v>
      </c>
      <c r="G29" s="215">
        <f>SUM('Restating Adj'!Y35:AC35)</f>
        <v>0</v>
      </c>
      <c r="H29" s="215">
        <f>SUM('Restating Adj'!AD35:AO35)</f>
        <v>-4996016.26</v>
      </c>
      <c r="I29" s="215">
        <f>SUM('Restating Adj'!AP35:BC35)</f>
        <v>0</v>
      </c>
      <c r="J29" s="215">
        <f>SUM('Restating Adj'!BD35:BG35)</f>
        <v>0</v>
      </c>
    </row>
    <row r="30" spans="1:10" x14ac:dyDescent="0.2">
      <c r="A30" s="214">
        <v>26</v>
      </c>
      <c r="B30" s="214" t="s">
        <v>69</v>
      </c>
      <c r="C30" s="215">
        <f>SUM(D30:J30)</f>
        <v>0</v>
      </c>
      <c r="D30" s="215">
        <f>SUM('Restating Adj'!C36:F36)</f>
        <v>0</v>
      </c>
      <c r="E30" s="215">
        <f>SUM('Restating Adj'!G36:S36)</f>
        <v>0</v>
      </c>
      <c r="F30" s="215">
        <f>SUM('Restating Adj'!T36:X36)</f>
        <v>0</v>
      </c>
      <c r="G30" s="215">
        <f>SUM('Restating Adj'!Y36:AC36)</f>
        <v>0</v>
      </c>
      <c r="H30" s="215">
        <f>SUM('Restating Adj'!AD36:AO36)</f>
        <v>0</v>
      </c>
      <c r="I30" s="215">
        <f>SUM('Restating Adj'!AP36:BC36)</f>
        <v>0</v>
      </c>
      <c r="J30" s="215">
        <f>SUM('Restating Adj'!BD36:BG36)</f>
        <v>0</v>
      </c>
    </row>
    <row r="31" spans="1:10" x14ac:dyDescent="0.2">
      <c r="A31" s="214">
        <v>27</v>
      </c>
      <c r="B31" s="214" t="s">
        <v>70</v>
      </c>
      <c r="C31" s="215">
        <f>SUM(D31:J31)</f>
        <v>325568.89931887086</v>
      </c>
      <c r="D31" s="215">
        <f>SUM('Restating Adj'!C37:F37)</f>
        <v>0</v>
      </c>
      <c r="E31" s="215">
        <f>SUM('Restating Adj'!G37:S37)</f>
        <v>265149.29931887088</v>
      </c>
      <c r="F31" s="215">
        <f>SUM('Restating Adj'!T37:X37)</f>
        <v>0</v>
      </c>
      <c r="G31" s="215">
        <f>SUM('Restating Adj'!Y37:AC37)</f>
        <v>0</v>
      </c>
      <c r="H31" s="215">
        <f>SUM('Restating Adj'!AD37:AO37)</f>
        <v>0</v>
      </c>
      <c r="I31" s="215">
        <f>SUM('Restating Adj'!AP37:BC37)</f>
        <v>60419.600000000006</v>
      </c>
      <c r="J31" s="215">
        <f>SUM('Restating Adj'!BD37:BG37)</f>
        <v>0</v>
      </c>
    </row>
    <row r="32" spans="1:10" x14ac:dyDescent="0.2">
      <c r="A32" s="214">
        <v>28</v>
      </c>
      <c r="B32" s="219" t="s">
        <v>71</v>
      </c>
      <c r="C32" s="220">
        <f>SUM(C23:C31)</f>
        <v>-4488164.5099655269</v>
      </c>
      <c r="D32" s="220">
        <f t="shared" ref="D32:I32" si="6">SUM(D23:D31)</f>
        <v>4777819.1385746012</v>
      </c>
      <c r="E32" s="220">
        <f t="shared" si="6"/>
        <v>-63656.127925996669</v>
      </c>
      <c r="F32" s="220">
        <f t="shared" si="6"/>
        <v>-4916849.4018509714</v>
      </c>
      <c r="G32" s="220">
        <f t="shared" si="6"/>
        <v>0</v>
      </c>
      <c r="H32" s="220">
        <f t="shared" si="6"/>
        <v>-4333209.6027631592</v>
      </c>
      <c r="I32" s="220">
        <f t="shared" si="6"/>
        <v>47731.484000000004</v>
      </c>
      <c r="J32" s="220">
        <f t="shared" ref="J32" si="7">SUM(J23:J31)</f>
        <v>0</v>
      </c>
    </row>
    <row r="33" spans="1:10" x14ac:dyDescent="0.2">
      <c r="A33" s="214">
        <v>29</v>
      </c>
      <c r="B33" s="214"/>
    </row>
    <row r="34" spans="1:10" ht="13.5" thickBot="1" x14ac:dyDescent="0.25">
      <c r="A34" s="214">
        <v>30</v>
      </c>
      <c r="B34" s="214" t="s">
        <v>72</v>
      </c>
      <c r="C34" s="221">
        <f>C10-C32</f>
        <v>26987480.487463631</v>
      </c>
      <c r="D34" s="221">
        <f t="shared" ref="D34:I34" si="8">D10-D32</f>
        <v>17973700.568923503</v>
      </c>
      <c r="E34" s="221">
        <f t="shared" si="8"/>
        <v>-188547.60207400334</v>
      </c>
      <c r="F34" s="221">
        <f t="shared" si="8"/>
        <v>4916849.4018509714</v>
      </c>
      <c r="G34" s="221">
        <f t="shared" si="8"/>
        <v>0</v>
      </c>
      <c r="H34" s="221">
        <f t="shared" si="8"/>
        <v>4333209.6027631592</v>
      </c>
      <c r="I34" s="221">
        <f t="shared" si="8"/>
        <v>-47731.484000000004</v>
      </c>
      <c r="J34" s="221">
        <f t="shared" ref="J34" si="9">J10-J32</f>
        <v>0</v>
      </c>
    </row>
    <row r="35" spans="1:10" ht="13.5" thickTop="1" x14ac:dyDescent="0.2">
      <c r="A35" s="214">
        <v>31</v>
      </c>
      <c r="B35" s="214"/>
    </row>
    <row r="36" spans="1:10" x14ac:dyDescent="0.2">
      <c r="A36" s="214">
        <v>32</v>
      </c>
      <c r="B36" s="214" t="s">
        <v>73</v>
      </c>
    </row>
    <row r="37" spans="1:10" x14ac:dyDescent="0.2">
      <c r="A37" s="214">
        <v>33</v>
      </c>
      <c r="B37" s="214" t="s">
        <v>74</v>
      </c>
      <c r="C37" s="215">
        <f t="shared" ref="C37:C47" si="10">SUM(D37:J37)</f>
        <v>28841635.412403762</v>
      </c>
      <c r="D37" s="215">
        <f>SUM('Restating Adj'!C43:F43)</f>
        <v>0</v>
      </c>
      <c r="E37" s="215">
        <f>SUM('Restating Adj'!G43:S43)</f>
        <v>0</v>
      </c>
      <c r="F37" s="215">
        <f>SUM('Restating Adj'!T43:X43)</f>
        <v>-27627626.061196692</v>
      </c>
      <c r="G37" s="215">
        <f>SUM('Restating Adj'!Y43:AC43)</f>
        <v>0</v>
      </c>
      <c r="H37" s="215">
        <f>SUM('Restating Adj'!AD43:AO43)</f>
        <v>0</v>
      </c>
      <c r="I37" s="215">
        <f>SUM('Restating Adj'!AP43:BC43)</f>
        <v>56469261.473600455</v>
      </c>
      <c r="J37" s="215">
        <f>SUM('Restating Adj'!BD43:BG43)</f>
        <v>0</v>
      </c>
    </row>
    <row r="38" spans="1:10" x14ac:dyDescent="0.2">
      <c r="A38" s="214">
        <v>34</v>
      </c>
      <c r="B38" s="214" t="s">
        <v>75</v>
      </c>
      <c r="C38" s="215">
        <f t="shared" si="10"/>
        <v>0</v>
      </c>
      <c r="D38" s="215">
        <f>SUM('Restating Adj'!C44:F44)</f>
        <v>0</v>
      </c>
      <c r="E38" s="215">
        <f>SUM('Restating Adj'!G44:S44)</f>
        <v>0</v>
      </c>
      <c r="F38" s="215">
        <f>SUM('Restating Adj'!T44:X44)</f>
        <v>0</v>
      </c>
      <c r="G38" s="215">
        <f>SUM('Restating Adj'!Y44:AC44)</f>
        <v>0</v>
      </c>
      <c r="H38" s="215">
        <f>SUM('Restating Adj'!AD44:AO44)</f>
        <v>0</v>
      </c>
      <c r="I38" s="215">
        <f>SUM('Restating Adj'!AP44:BC44)</f>
        <v>0</v>
      </c>
      <c r="J38" s="215">
        <f>SUM('Restating Adj'!BD44:BG44)</f>
        <v>0</v>
      </c>
    </row>
    <row r="39" spans="1:10" x14ac:dyDescent="0.2">
      <c r="A39" s="214">
        <v>35</v>
      </c>
      <c r="B39" s="214" t="s">
        <v>76</v>
      </c>
      <c r="C39" s="215">
        <f t="shared" si="10"/>
        <v>-4016276.2885573972</v>
      </c>
      <c r="D39" s="215">
        <f>SUM('Restating Adj'!C45:F45)</f>
        <v>0</v>
      </c>
      <c r="E39" s="215">
        <f>SUM('Restating Adj'!G45:S45)</f>
        <v>0</v>
      </c>
      <c r="F39" s="215">
        <f>SUM('Restating Adj'!T45:X45)</f>
        <v>0</v>
      </c>
      <c r="G39" s="215">
        <f>SUM('Restating Adj'!Y45:AC45)</f>
        <v>0</v>
      </c>
      <c r="H39" s="215">
        <f>SUM('Restating Adj'!AD45:AO45)</f>
        <v>0</v>
      </c>
      <c r="I39" s="215">
        <f>SUM('Restating Adj'!AP45:BC45)</f>
        <v>-4016276.2885573972</v>
      </c>
      <c r="J39" s="215">
        <f>SUM('Restating Adj'!BD45:BG45)</f>
        <v>0</v>
      </c>
    </row>
    <row r="40" spans="1:10" x14ac:dyDescent="0.2">
      <c r="A40" s="214">
        <v>36</v>
      </c>
      <c r="B40" s="214" t="s">
        <v>77</v>
      </c>
      <c r="C40" s="215">
        <f t="shared" si="10"/>
        <v>0</v>
      </c>
      <c r="D40" s="215">
        <f>SUM('Restating Adj'!C46:F46)</f>
        <v>0</v>
      </c>
      <c r="E40" s="215">
        <f>SUM('Restating Adj'!G46:S46)</f>
        <v>0</v>
      </c>
      <c r="F40" s="215">
        <f>SUM('Restating Adj'!T46:X46)</f>
        <v>0</v>
      </c>
      <c r="G40" s="215">
        <f>SUM('Restating Adj'!Y46:AC46)</f>
        <v>0</v>
      </c>
      <c r="H40" s="215">
        <f>SUM('Restating Adj'!AD46:AO46)</f>
        <v>0</v>
      </c>
      <c r="I40" s="215">
        <f>SUM('Restating Adj'!AP46:BC46)</f>
        <v>0</v>
      </c>
      <c r="J40" s="215">
        <f>SUM('Restating Adj'!BD46:BG46)</f>
        <v>0</v>
      </c>
    </row>
    <row r="41" spans="1:10" x14ac:dyDescent="0.2">
      <c r="A41" s="214">
        <v>37</v>
      </c>
      <c r="B41" s="214" t="s">
        <v>78</v>
      </c>
      <c r="C41" s="215">
        <f t="shared" si="10"/>
        <v>0</v>
      </c>
      <c r="D41" s="215">
        <f>SUM('Restating Adj'!C47:F47)</f>
        <v>0</v>
      </c>
      <c r="E41" s="215">
        <f>SUM('Restating Adj'!G47:S47)</f>
        <v>0</v>
      </c>
      <c r="F41" s="215">
        <f>SUM('Restating Adj'!T47:X47)</f>
        <v>0</v>
      </c>
      <c r="G41" s="215">
        <f>SUM('Restating Adj'!Y47:AC47)</f>
        <v>0</v>
      </c>
      <c r="H41" s="215">
        <f>SUM('Restating Adj'!AD47:AO47)</f>
        <v>0</v>
      </c>
      <c r="I41" s="215">
        <f>SUM('Restating Adj'!AP47:BC47)</f>
        <v>0</v>
      </c>
      <c r="J41" s="215">
        <f>SUM('Restating Adj'!BD47:BG47)</f>
        <v>0</v>
      </c>
    </row>
    <row r="42" spans="1:10" x14ac:dyDescent="0.2">
      <c r="A42" s="214">
        <v>38</v>
      </c>
      <c r="B42" s="214" t="s">
        <v>79</v>
      </c>
      <c r="C42" s="215">
        <f t="shared" si="10"/>
        <v>-2033329.3412143218</v>
      </c>
      <c r="D42" s="215">
        <f>SUM('Restating Adj'!C48:F48)</f>
        <v>0</v>
      </c>
      <c r="E42" s="215">
        <f>SUM('Restating Adj'!G48:S48)</f>
        <v>0</v>
      </c>
      <c r="F42" s="215">
        <f>SUM('Restating Adj'!T48:X48)</f>
        <v>0</v>
      </c>
      <c r="G42" s="215">
        <f>SUM('Restating Adj'!Y48:AC48)</f>
        <v>0</v>
      </c>
      <c r="H42" s="215">
        <f>SUM('Restating Adj'!AD48:AO48)</f>
        <v>0</v>
      </c>
      <c r="I42" s="215">
        <f>SUM('Restating Adj'!AP48:BC48)</f>
        <v>-2033329.3412143218</v>
      </c>
      <c r="J42" s="215">
        <f>SUM('Restating Adj'!BD48:BG48)</f>
        <v>0</v>
      </c>
    </row>
    <row r="43" spans="1:10" x14ac:dyDescent="0.2">
      <c r="A43" s="214">
        <v>39</v>
      </c>
      <c r="B43" s="214" t="s">
        <v>80</v>
      </c>
      <c r="C43" s="215">
        <f t="shared" si="10"/>
        <v>-5721215.8555581281</v>
      </c>
      <c r="D43" s="215">
        <f>SUM('Restating Adj'!C49:F49)</f>
        <v>0</v>
      </c>
      <c r="E43" s="215">
        <f>SUM('Restating Adj'!G49:S49)</f>
        <v>0</v>
      </c>
      <c r="F43" s="215">
        <f>SUM('Restating Adj'!T49:X49)</f>
        <v>0</v>
      </c>
      <c r="G43" s="215">
        <f>SUM('Restating Adj'!Y49:AC49)</f>
        <v>0</v>
      </c>
      <c r="H43" s="215">
        <f>SUM('Restating Adj'!AD49:AO49)</f>
        <v>0</v>
      </c>
      <c r="I43" s="215">
        <f>SUM('Restating Adj'!AP49:BC49)</f>
        <v>-5721215.8555581281</v>
      </c>
      <c r="J43" s="215">
        <f>SUM('Restating Adj'!BD49:BG49)</f>
        <v>0</v>
      </c>
    </row>
    <row r="44" spans="1:10" x14ac:dyDescent="0.2">
      <c r="A44" s="214">
        <v>40</v>
      </c>
      <c r="B44" s="214" t="s">
        <v>81</v>
      </c>
      <c r="C44" s="215">
        <f t="shared" si="10"/>
        <v>-8818868.4865037892</v>
      </c>
      <c r="D44" s="215">
        <f>SUM('Restating Adj'!C50:F50)</f>
        <v>0</v>
      </c>
      <c r="E44" s="215">
        <f>SUM('Restating Adj'!G50:S50)</f>
        <v>0</v>
      </c>
      <c r="F44" s="215">
        <f>SUM('Restating Adj'!T50:X50)</f>
        <v>0</v>
      </c>
      <c r="G44" s="215">
        <f>SUM('Restating Adj'!Y50:AC50)</f>
        <v>0</v>
      </c>
      <c r="H44" s="215">
        <f>SUM('Restating Adj'!AD50:AO50)</f>
        <v>0</v>
      </c>
      <c r="I44" s="215">
        <f>SUM('Restating Adj'!AP50:BC50)</f>
        <v>-8818868.4865037892</v>
      </c>
      <c r="J44" s="215">
        <f>SUM('Restating Adj'!BD50:BG50)</f>
        <v>0</v>
      </c>
    </row>
    <row r="45" spans="1:10" x14ac:dyDescent="0.2">
      <c r="A45" s="214">
        <v>41</v>
      </c>
      <c r="B45" s="214" t="s">
        <v>82</v>
      </c>
      <c r="C45" s="215">
        <f t="shared" si="10"/>
        <v>20620031.009925332</v>
      </c>
      <c r="D45" s="215">
        <f>SUM('Restating Adj'!C51:F51)</f>
        <v>0</v>
      </c>
      <c r="E45" s="215">
        <f>SUM('Restating Adj'!G51:S51)</f>
        <v>0</v>
      </c>
      <c r="F45" s="215">
        <f>SUM('Restating Adj'!T51:X51)</f>
        <v>0</v>
      </c>
      <c r="G45" s="215">
        <f>SUM('Restating Adj'!Y51:AC51)</f>
        <v>0</v>
      </c>
      <c r="H45" s="215">
        <f>SUM('Restating Adj'!AD51:AO51)</f>
        <v>0</v>
      </c>
      <c r="I45" s="215">
        <f>SUM('Restating Adj'!AP51:BC51)</f>
        <v>20620031.009925332</v>
      </c>
      <c r="J45" s="215">
        <f>SUM('Restating Adj'!BD51:BG51)</f>
        <v>0</v>
      </c>
    </row>
    <row r="46" spans="1:10" x14ac:dyDescent="0.2">
      <c r="A46" s="214">
        <v>42</v>
      </c>
      <c r="B46" s="214" t="s">
        <v>162</v>
      </c>
      <c r="C46" s="215">
        <f t="shared" si="10"/>
        <v>0</v>
      </c>
      <c r="D46" s="215">
        <f>SUM('Restating Adj'!C52:F52)</f>
        <v>0</v>
      </c>
      <c r="E46" s="215">
        <f>SUM('Restating Adj'!G52:S52)</f>
        <v>0</v>
      </c>
      <c r="F46" s="215">
        <f>SUM('Restating Adj'!T52:X52)</f>
        <v>0</v>
      </c>
      <c r="G46" s="215">
        <f>SUM('Restating Adj'!Y52:AC52)</f>
        <v>0</v>
      </c>
      <c r="H46" s="215">
        <f>SUM('Restating Adj'!AD52:AO52)</f>
        <v>0</v>
      </c>
      <c r="I46" s="215">
        <f>SUM('Restating Adj'!AP52:BC52)</f>
        <v>0</v>
      </c>
      <c r="J46" s="215">
        <f>SUM('Restating Adj'!BD52:BG52)</f>
        <v>0</v>
      </c>
    </row>
    <row r="47" spans="1:10" x14ac:dyDescent="0.2">
      <c r="A47" s="214">
        <v>43</v>
      </c>
      <c r="B47" s="214" t="s">
        <v>84</v>
      </c>
      <c r="C47" s="215">
        <f t="shared" si="10"/>
        <v>0</v>
      </c>
      <c r="D47" s="222">
        <f>SUM('Restating Adj'!C53:F53)</f>
        <v>0</v>
      </c>
      <c r="E47" s="215">
        <f>SUM('Restating Adj'!G53:S53)</f>
        <v>0</v>
      </c>
      <c r="F47" s="215">
        <f>SUM('Restating Adj'!T53:X53)</f>
        <v>0</v>
      </c>
      <c r="G47" s="215">
        <f>SUM('Restating Adj'!Y53:AC53)</f>
        <v>0</v>
      </c>
      <c r="H47" s="215">
        <f>SUM('Restating Adj'!AD53:AO53)</f>
        <v>0</v>
      </c>
      <c r="I47" s="215">
        <f>SUM('Restating Adj'!AP53:BC53)</f>
        <v>0</v>
      </c>
      <c r="J47" s="215">
        <f>SUM('Restating Adj'!BD53:BG53)</f>
        <v>0</v>
      </c>
    </row>
    <row r="48" spans="1:10" x14ac:dyDescent="0.2">
      <c r="A48" s="214">
        <v>44</v>
      </c>
      <c r="B48" s="214" t="s">
        <v>85</v>
      </c>
      <c r="C48" s="220">
        <f>SUM(C37:C47)</f>
        <v>28871976.450495459</v>
      </c>
      <c r="D48" s="220">
        <f t="shared" ref="D48:I48" si="11">SUM(D37:D47)</f>
        <v>0</v>
      </c>
      <c r="E48" s="220">
        <f t="shared" si="11"/>
        <v>0</v>
      </c>
      <c r="F48" s="220">
        <f t="shared" si="11"/>
        <v>-27627626.061196692</v>
      </c>
      <c r="G48" s="220">
        <f t="shared" si="11"/>
        <v>0</v>
      </c>
      <c r="H48" s="220">
        <f t="shared" si="11"/>
        <v>0</v>
      </c>
      <c r="I48" s="220">
        <f t="shared" si="11"/>
        <v>56499602.511692151</v>
      </c>
      <c r="J48" s="220">
        <f t="shared" ref="J48" si="12">SUM(J37:J47)</f>
        <v>0</v>
      </c>
    </row>
    <row r="49" spans="1:10" x14ac:dyDescent="0.2">
      <c r="A49" s="214">
        <v>45</v>
      </c>
      <c r="B49" s="244"/>
    </row>
    <row r="50" spans="1:10" x14ac:dyDescent="0.2">
      <c r="A50" s="214">
        <v>46</v>
      </c>
      <c r="B50" s="214" t="s">
        <v>163</v>
      </c>
    </row>
    <row r="51" spans="1:10" x14ac:dyDescent="0.2">
      <c r="A51" s="214">
        <v>47</v>
      </c>
      <c r="B51" s="214" t="s">
        <v>87</v>
      </c>
      <c r="C51" s="215">
        <f t="shared" ref="C51:C57" si="13">SUM(D51:J51)</f>
        <v>-48566074.454209499</v>
      </c>
      <c r="D51" s="215">
        <f>SUM('Restating Adj'!C57:F57)</f>
        <v>0</v>
      </c>
      <c r="E51" s="215">
        <f>SUM('Restating Adj'!G57:S57)</f>
        <v>0</v>
      </c>
      <c r="F51" s="215">
        <f>SUM('Restating Adj'!T57:X57)</f>
        <v>20667243.049652372</v>
      </c>
      <c r="G51" s="215">
        <f>SUM('Restating Adj'!Y57:AC57)</f>
        <v>-16699601.50878338</v>
      </c>
      <c r="H51" s="215">
        <f>SUM('Restating Adj'!AD57:AO57)</f>
        <v>0</v>
      </c>
      <c r="I51" s="215">
        <f>SUM('Restating Adj'!AP57:BC57)</f>
        <v>-52533715.995078489</v>
      </c>
      <c r="J51" s="215">
        <f>SUM('Restating Adj'!BD57:BG57)</f>
        <v>0</v>
      </c>
    </row>
    <row r="52" spans="1:10" x14ac:dyDescent="0.2">
      <c r="A52" s="214">
        <v>48</v>
      </c>
      <c r="B52" s="214" t="s">
        <v>88</v>
      </c>
      <c r="C52" s="215">
        <f t="shared" si="13"/>
        <v>-2423618.2104293355</v>
      </c>
      <c r="D52" s="215">
        <f>SUM('Restating Adj'!C58:F58)</f>
        <v>0</v>
      </c>
      <c r="E52" s="215">
        <f>SUM('Restating Adj'!G58:S58)</f>
        <v>0</v>
      </c>
      <c r="F52" s="215">
        <f>SUM('Restating Adj'!T58:X58)</f>
        <v>0</v>
      </c>
      <c r="G52" s="215">
        <f>SUM('Restating Adj'!Y58:AC58)</f>
        <v>-2423618.2104293355</v>
      </c>
      <c r="H52" s="215">
        <f>SUM('Restating Adj'!AD58:AO58)</f>
        <v>0</v>
      </c>
      <c r="I52" s="215">
        <f>SUM('Restating Adj'!AP58:BC58)</f>
        <v>0</v>
      </c>
      <c r="J52" s="215">
        <f>SUM('Restating Adj'!BD58:BG58)</f>
        <v>0</v>
      </c>
    </row>
    <row r="53" spans="1:10" x14ac:dyDescent="0.2">
      <c r="A53" s="214">
        <v>49</v>
      </c>
      <c r="B53" s="214" t="s">
        <v>89</v>
      </c>
      <c r="C53" s="215">
        <f t="shared" si="13"/>
        <v>13626096.714858457</v>
      </c>
      <c r="D53" s="215">
        <f>SUM('Restating Adj'!C59:F59)</f>
        <v>0</v>
      </c>
      <c r="E53" s="215">
        <f>SUM('Restating Adj'!G59:S59)</f>
        <v>-20743.75673634035</v>
      </c>
      <c r="F53" s="215">
        <f>SUM('Restating Adj'!T59:X59)</f>
        <v>1859727.4958688179</v>
      </c>
      <c r="G53" s="215">
        <f>SUM('Restating Adj'!Y59:AC59)</f>
        <v>0</v>
      </c>
      <c r="H53" s="215">
        <f>SUM('Restating Adj'!AD59:AO59)</f>
        <v>9509472.108793281</v>
      </c>
      <c r="I53" s="215">
        <f>SUM('Restating Adj'!AP59:BC59)</f>
        <v>2277640.8669327004</v>
      </c>
      <c r="J53" s="215">
        <f>SUM('Restating Adj'!BD59:BG59)</f>
        <v>0</v>
      </c>
    </row>
    <row r="54" spans="1:10" x14ac:dyDescent="0.2">
      <c r="A54" s="214">
        <v>50</v>
      </c>
      <c r="B54" s="214" t="s">
        <v>90</v>
      </c>
      <c r="C54" s="215">
        <f t="shared" si="13"/>
        <v>0</v>
      </c>
      <c r="D54" s="215">
        <f>SUM('Restating Adj'!C60:F60)</f>
        <v>0</v>
      </c>
      <c r="E54" s="215">
        <f>SUM('Restating Adj'!G60:S60)</f>
        <v>0</v>
      </c>
      <c r="F54" s="215">
        <f>SUM('Restating Adj'!T60:X60)</f>
        <v>0</v>
      </c>
      <c r="G54" s="215">
        <f>SUM('Restating Adj'!Y60:AC60)</f>
        <v>0</v>
      </c>
      <c r="H54" s="215">
        <f>SUM('Restating Adj'!AD60:AO60)</f>
        <v>0</v>
      </c>
      <c r="I54" s="215">
        <f>SUM('Restating Adj'!AP60:BC60)</f>
        <v>0</v>
      </c>
      <c r="J54" s="215">
        <f>SUM('Restating Adj'!BD60:BG60)</f>
        <v>0</v>
      </c>
    </row>
    <row r="55" spans="1:10" x14ac:dyDescent="0.2">
      <c r="A55" s="214">
        <v>51</v>
      </c>
      <c r="B55" s="214" t="s">
        <v>91</v>
      </c>
      <c r="C55" s="215">
        <f t="shared" si="13"/>
        <v>-2502028.2767103352</v>
      </c>
      <c r="D55" s="215">
        <f>SUM('Restating Adj'!C61:F61)</f>
        <v>0</v>
      </c>
      <c r="E55" s="215">
        <f>SUM('Restating Adj'!G61:S61)</f>
        <v>0</v>
      </c>
      <c r="F55" s="215">
        <f>SUM('Restating Adj'!T61:X61)</f>
        <v>0</v>
      </c>
      <c r="G55" s="215">
        <f>SUM('Restating Adj'!Y61:AC61)</f>
        <v>0</v>
      </c>
      <c r="H55" s="215">
        <f>SUM('Restating Adj'!AD61:AO61)</f>
        <v>0</v>
      </c>
      <c r="I55" s="215">
        <f>SUM('Restating Adj'!AP61:BC61)</f>
        <v>-2502028.2767103352</v>
      </c>
      <c r="J55" s="215">
        <f>SUM('Restating Adj'!BD61:BG61)</f>
        <v>0</v>
      </c>
    </row>
    <row r="56" spans="1:10" x14ac:dyDescent="0.2">
      <c r="A56" s="214">
        <v>52</v>
      </c>
      <c r="B56" s="214" t="s">
        <v>92</v>
      </c>
      <c r="C56" s="215">
        <f t="shared" si="13"/>
        <v>-2829106.1541666668</v>
      </c>
      <c r="D56" s="215">
        <f>SUM('Restating Adj'!C62:F62)</f>
        <v>0</v>
      </c>
      <c r="E56" s="215">
        <f>SUM('Restating Adj'!G62:S62)</f>
        <v>0</v>
      </c>
      <c r="F56" s="215">
        <f>SUM('Restating Adj'!T62:X62)</f>
        <v>0</v>
      </c>
      <c r="G56" s="215">
        <f>SUM('Restating Adj'!Y62:AC62)</f>
        <v>0</v>
      </c>
      <c r="H56" s="215">
        <f>SUM('Restating Adj'!AD62:AO62)</f>
        <v>0</v>
      </c>
      <c r="I56" s="215">
        <f>SUM('Restating Adj'!AP62:BC62)</f>
        <v>-2829106.1541666668</v>
      </c>
      <c r="J56" s="215">
        <f>SUM('Restating Adj'!BD62:BG62)</f>
        <v>0</v>
      </c>
    </row>
    <row r="57" spans="1:10" x14ac:dyDescent="0.2">
      <c r="A57" s="214">
        <v>53</v>
      </c>
      <c r="B57" s="214" t="s">
        <v>164</v>
      </c>
      <c r="C57" s="215">
        <f t="shared" si="13"/>
        <v>4129504.8610232491</v>
      </c>
      <c r="D57" s="215">
        <f>SUM('Restating Adj'!C63:F63)</f>
        <v>0</v>
      </c>
      <c r="E57" s="215">
        <f>SUM('Restating Adj'!G63:S63)</f>
        <v>0</v>
      </c>
      <c r="F57" s="215">
        <f>SUM('Restating Adj'!T63:X63)</f>
        <v>0</v>
      </c>
      <c r="G57" s="215">
        <f>SUM('Restating Adj'!Y63:AC63)</f>
        <v>0</v>
      </c>
      <c r="H57" s="215">
        <f>SUM('Restating Adj'!AD63:AO63)</f>
        <v>3070693</v>
      </c>
      <c r="I57" s="215">
        <f>SUM('Restating Adj'!AP63:BC63)</f>
        <v>1058811.8610232489</v>
      </c>
      <c r="J57" s="215">
        <f>SUM('Restating Adj'!BD63:BG63)</f>
        <v>0</v>
      </c>
    </row>
    <row r="58" spans="1:10" x14ac:dyDescent="0.2">
      <c r="A58" s="214">
        <v>54</v>
      </c>
      <c r="B58" s="214"/>
      <c r="F58" s="215"/>
      <c r="G58" s="215"/>
      <c r="I58" s="215"/>
      <c r="J58" s="215"/>
    </row>
    <row r="59" spans="1:10" x14ac:dyDescent="0.2">
      <c r="A59" s="214">
        <v>55</v>
      </c>
      <c r="B59" s="214" t="s">
        <v>165</v>
      </c>
      <c r="C59" s="220">
        <f>SUM(C51:C58)</f>
        <v>-38565225.519634128</v>
      </c>
      <c r="D59" s="220">
        <f t="shared" ref="D59:I59" si="14">SUM(D51:D58)</f>
        <v>0</v>
      </c>
      <c r="E59" s="220">
        <f t="shared" si="14"/>
        <v>-20743.75673634035</v>
      </c>
      <c r="F59" s="220">
        <f t="shared" si="14"/>
        <v>22526970.545521189</v>
      </c>
      <c r="G59" s="220">
        <f t="shared" si="14"/>
        <v>-19123219.719212715</v>
      </c>
      <c r="H59" s="220">
        <f t="shared" si="14"/>
        <v>12580165.108793281</v>
      </c>
      <c r="I59" s="220">
        <f t="shared" si="14"/>
        <v>-54528397.697999552</v>
      </c>
      <c r="J59" s="220">
        <f t="shared" ref="J59" si="15">SUM(J51:J58)</f>
        <v>0</v>
      </c>
    </row>
    <row r="60" spans="1:10" x14ac:dyDescent="0.2">
      <c r="A60" s="214">
        <v>56</v>
      </c>
      <c r="B60" s="214"/>
    </row>
    <row r="61" spans="1:10" ht="13.5" thickBot="1" x14ac:dyDescent="0.25">
      <c r="A61" s="214">
        <v>57</v>
      </c>
      <c r="B61" s="214" t="s">
        <v>95</v>
      </c>
      <c r="C61" s="221">
        <f>C48+C59</f>
        <v>-9693249.0691386685</v>
      </c>
      <c r="D61" s="221">
        <f t="shared" ref="D61:I61" si="16">D48+D59</f>
        <v>0</v>
      </c>
      <c r="E61" s="221">
        <f t="shared" si="16"/>
        <v>-20743.75673634035</v>
      </c>
      <c r="F61" s="221">
        <f t="shared" si="16"/>
        <v>-5100655.5156755038</v>
      </c>
      <c r="G61" s="221">
        <f t="shared" si="16"/>
        <v>-19123219.719212715</v>
      </c>
      <c r="H61" s="221">
        <f t="shared" si="16"/>
        <v>12580165.108793281</v>
      </c>
      <c r="I61" s="221">
        <f t="shared" si="16"/>
        <v>1971204.8136925995</v>
      </c>
      <c r="J61" s="221">
        <f t="shared" ref="J61" si="17">J48+J59</f>
        <v>0</v>
      </c>
    </row>
    <row r="62" spans="1:10" ht="13.5" thickTop="1" x14ac:dyDescent="0.2">
      <c r="A62" s="214">
        <v>58</v>
      </c>
      <c r="B62" s="214"/>
    </row>
    <row r="63" spans="1:10" x14ac:dyDescent="0.2">
      <c r="A63" s="214">
        <v>59</v>
      </c>
      <c r="B63" s="223" t="s">
        <v>166</v>
      </c>
      <c r="C63" s="224">
        <f t="shared" ref="C63" si="18">(((C34+Unadj_Op_revenue)/(C61+Unadj_rate_base))-Weighted_cost_debt-Weighted_cost_pref)/Percent_common-Unadj_ROE</f>
        <v>6.8810828183813122E-2</v>
      </c>
      <c r="D63" s="224">
        <f t="shared" ref="D63:I63" si="19">(((D34+Unadj_Op_revenue)/(D61+Unadj_rate_base))-Weighted_cost_debt-Weighted_cost_pref)/Percent_common-Unadj_ROE</f>
        <v>4.3923284785825967E-2</v>
      </c>
      <c r="E63" s="224">
        <f t="shared" si="19"/>
        <v>-4.5648832306616205E-4</v>
      </c>
      <c r="F63" s="224">
        <f t="shared" si="19"/>
        <v>1.3156014352347672E-2</v>
      </c>
      <c r="G63" s="224">
        <f t="shared" si="19"/>
        <v>4.0521641616954179E-3</v>
      </c>
      <c r="H63" s="224">
        <f t="shared" si="19"/>
        <v>7.8620374915139984E-3</v>
      </c>
      <c r="I63" s="224">
        <f t="shared" si="19"/>
        <v>-5.2275652487408786E-4</v>
      </c>
      <c r="J63" s="224">
        <f t="shared" ref="J63" si="20">(((J34+Unadj_Op_revenue)/(J61+Unadj_rate_base))-Weighted_cost_debt-Weighted_cost_pref)/Percent_common-Unadj_ROE</f>
        <v>0</v>
      </c>
    </row>
    <row r="64" spans="1:10" x14ac:dyDescent="0.2">
      <c r="A64" s="214">
        <v>60</v>
      </c>
      <c r="B64" s="206" t="s">
        <v>43</v>
      </c>
      <c r="C64" s="225">
        <f t="shared" ref="C64" si="21">-(C34-(C61*Overall_ROR))/gross_up_factor</f>
        <v>-36823154.545951009</v>
      </c>
      <c r="D64" s="225">
        <f t="shared" ref="D64:I64" si="22">-(D34-(D61*Overall_ROR))/gross_up_factor</f>
        <v>-23864702.342061348</v>
      </c>
      <c r="E64" s="225">
        <f t="shared" si="22"/>
        <v>248225.99310839988</v>
      </c>
      <c r="F64" s="225">
        <f t="shared" si="22"/>
        <v>-7049506.4935563151</v>
      </c>
      <c r="G64" s="225">
        <f t="shared" si="22"/>
        <v>-1953791.2889789753</v>
      </c>
      <c r="H64" s="225">
        <f t="shared" si="22"/>
        <v>-4468151.3171795243</v>
      </c>
      <c r="I64" s="225">
        <f t="shared" si="22"/>
        <v>264770.90271675668</v>
      </c>
      <c r="J64" s="225">
        <f t="shared" ref="J64" si="23">-(J34-(J61*Overall_ROR))/gross_up_factor</f>
        <v>0</v>
      </c>
    </row>
    <row r="65" spans="1:10" x14ac:dyDescent="0.2">
      <c r="A65" s="214">
        <v>61</v>
      </c>
      <c r="B65" s="214"/>
    </row>
    <row r="66" spans="1:10" x14ac:dyDescent="0.2">
      <c r="A66" s="214">
        <v>62</v>
      </c>
      <c r="B66" s="214" t="s">
        <v>97</v>
      </c>
    </row>
    <row r="67" spans="1:10" x14ac:dyDescent="0.2">
      <c r="A67" s="214">
        <v>63</v>
      </c>
      <c r="B67" s="214" t="s">
        <v>98</v>
      </c>
      <c r="C67" s="226">
        <f>SUM(D67:J67)</f>
        <v>28949324.612968691</v>
      </c>
      <c r="D67" s="226">
        <f t="shared" ref="D67:I67" si="24">D10-D23-D24-D25-D26-D31</f>
        <v>22751519.707498103</v>
      </c>
      <c r="E67" s="226">
        <f t="shared" si="24"/>
        <v>-238303.51719205652</v>
      </c>
      <c r="F67" s="226">
        <f t="shared" si="24"/>
        <v>6246152.0226626489</v>
      </c>
      <c r="G67" s="226">
        <f t="shared" si="24"/>
        <v>0</v>
      </c>
      <c r="H67" s="226">
        <f t="shared" si="24"/>
        <v>250376</v>
      </c>
      <c r="I67" s="226">
        <f t="shared" si="24"/>
        <v>-60419.600000000006</v>
      </c>
      <c r="J67" s="226">
        <f t="shared" ref="J67" si="25">J10-J23-J24-J25-J26-J31</f>
        <v>0</v>
      </c>
    </row>
    <row r="68" spans="1:10" x14ac:dyDescent="0.2">
      <c r="A68" s="214">
        <v>64</v>
      </c>
      <c r="B68" s="214" t="s">
        <v>99</v>
      </c>
      <c r="C68" s="226">
        <v>0</v>
      </c>
      <c r="D68" s="15">
        <f>SUM('Restating Adj'!C75:F75)</f>
        <v>0</v>
      </c>
      <c r="E68" s="15">
        <f>SUM('Restating Adj'!G75:S75)</f>
        <v>0</v>
      </c>
      <c r="F68" s="15">
        <f>SUM('Restating Adj'!T75:X75)</f>
        <v>0</v>
      </c>
      <c r="G68" s="15">
        <f>SUM('Restating Adj'!Y75:AC75)</f>
        <v>0</v>
      </c>
      <c r="H68" s="15">
        <f>SUM('Restating Adj'!AD75:AO75)</f>
        <v>0</v>
      </c>
      <c r="I68" s="15">
        <f>SUM('Restating Adj'!AP75:BC75)</f>
        <v>0</v>
      </c>
      <c r="J68" s="15">
        <f>SUM('Restating Adj'!BD75:BG75)</f>
        <v>0</v>
      </c>
    </row>
    <row r="69" spans="1:10" x14ac:dyDescent="0.2">
      <c r="A69" s="214">
        <v>65</v>
      </c>
      <c r="B69" s="214" t="s">
        <v>100</v>
      </c>
      <c r="C69" s="226">
        <f>SUM(D69:J69)</f>
        <v>-4620.2408263712532</v>
      </c>
      <c r="D69" s="226">
        <f>SUM('Restating Adj'!C76:F76)</f>
        <v>0</v>
      </c>
      <c r="E69" s="215">
        <f>SUM('Restating Adj'!G76:S76)</f>
        <v>0</v>
      </c>
      <c r="F69" s="226">
        <f>SUM('Restating Adj'!T76:X76)</f>
        <v>0</v>
      </c>
      <c r="G69" s="226">
        <f>SUM('Restating Adj'!Y76:AC76)</f>
        <v>0</v>
      </c>
      <c r="H69" s="215">
        <f>SUM('Restating Adj'!AD76:AO76)</f>
        <v>-4620.2408263712532</v>
      </c>
      <c r="I69" s="215">
        <f>SUM('Restating Adj'!AP76:BC76)</f>
        <v>0</v>
      </c>
      <c r="J69" s="215">
        <f>SUM('Restating Adj'!BD76:BG76)</f>
        <v>0</v>
      </c>
    </row>
    <row r="70" spans="1:10" x14ac:dyDescent="0.2">
      <c r="A70" s="214">
        <v>66</v>
      </c>
      <c r="B70" s="214" t="s">
        <v>101</v>
      </c>
      <c r="C70" s="226">
        <f>SUM(D70:J70)</f>
        <v>-4093492.6031585857</v>
      </c>
      <c r="D70" s="226">
        <f>SUM('Restating Adj'!C77:F77)</f>
        <v>0</v>
      </c>
      <c r="E70" s="215">
        <f>SUM('Restating Adj'!G77:S77)</f>
        <v>0</v>
      </c>
      <c r="F70" s="226">
        <f>SUM('Restating Adj'!T77:X77)</f>
        <v>0</v>
      </c>
      <c r="G70" s="226">
        <f>SUM('Restating Adj'!Y77:AC77)</f>
        <v>0</v>
      </c>
      <c r="H70" s="215">
        <f>SUM('Restating Adj'!AD77:AO77)</f>
        <v>-4093492.6031585857</v>
      </c>
      <c r="I70" s="215">
        <f>SUM('Restating Adj'!AP77:BC77)</f>
        <v>0</v>
      </c>
      <c r="J70" s="215">
        <f>SUM('Restating Adj'!BD77:BG77)</f>
        <v>0</v>
      </c>
    </row>
    <row r="71" spans="1:10" x14ac:dyDescent="0.2">
      <c r="A71" s="214">
        <v>67</v>
      </c>
      <c r="B71" s="219" t="s">
        <v>102</v>
      </c>
      <c r="C71" s="226">
        <f>SUM(D71:J71)</f>
        <v>-185916.44429361407</v>
      </c>
      <c r="D71" s="226">
        <f>SUM('Restating Adj'!C78:F78)</f>
        <v>0</v>
      </c>
      <c r="E71" s="215">
        <f>SUM('Restating Adj'!G78:S78)</f>
        <v>-133728.44429361407</v>
      </c>
      <c r="F71" s="226">
        <f>SUM('Restating Adj'!T78:X78)</f>
        <v>-52188</v>
      </c>
      <c r="G71" s="226">
        <f>SUM('Restating Adj'!Y78:AC78)</f>
        <v>0</v>
      </c>
      <c r="H71" s="215">
        <f>SUM('Restating Adj'!AD78:AO78)</f>
        <v>0</v>
      </c>
      <c r="I71" s="215">
        <f>SUM('Restating Adj'!AP78:BC78)</f>
        <v>0</v>
      </c>
      <c r="J71" s="215">
        <f>SUM('Restating Adj'!BD78:BG78)</f>
        <v>0</v>
      </c>
    </row>
    <row r="72" spans="1:10" x14ac:dyDescent="0.2">
      <c r="A72" s="214">
        <v>68</v>
      </c>
      <c r="B72" s="219" t="s">
        <v>103</v>
      </c>
      <c r="C72" s="227">
        <f>SUM(D72:J72)</f>
        <v>133451.54645019188</v>
      </c>
      <c r="D72" s="227">
        <f>SUM('Restating Adj'!C79:F79)</f>
        <v>0</v>
      </c>
      <c r="E72" s="215">
        <f>SUM('Restating Adj'!G79:S79)</f>
        <v>-125695.50214021644</v>
      </c>
      <c r="F72" s="227">
        <f>SUM('Restating Adj'!T79:X79)</f>
        <v>259147.04859040832</v>
      </c>
      <c r="G72" s="227">
        <f>SUM('Restating Adj'!Y79:AC79)</f>
        <v>0</v>
      </c>
      <c r="H72" s="215">
        <f>SUM('Restating Adj'!AD79:AO79)</f>
        <v>0</v>
      </c>
      <c r="I72" s="215">
        <f>SUM('Restating Adj'!AP79:BC79)</f>
        <v>0</v>
      </c>
      <c r="J72" s="215">
        <f>SUM('Restating Adj'!BD79:BG79)</f>
        <v>0</v>
      </c>
    </row>
    <row r="73" spans="1:10" x14ac:dyDescent="0.2">
      <c r="A73" s="214">
        <v>69</v>
      </c>
      <c r="B73" s="219" t="s">
        <v>104</v>
      </c>
      <c r="C73" s="228">
        <f>SUM(D73:J73)</f>
        <v>32728069.466209847</v>
      </c>
      <c r="D73" s="228">
        <f>D67-D69-D70+D71-D72</f>
        <v>22751519.707498103</v>
      </c>
      <c r="E73" s="228">
        <f t="shared" ref="E73:I73" si="26">E67-E69-E70+E71-E72</f>
        <v>-246336.45934545415</v>
      </c>
      <c r="F73" s="228">
        <f t="shared" si="26"/>
        <v>5934816.9740722403</v>
      </c>
      <c r="G73" s="228">
        <f t="shared" si="26"/>
        <v>0</v>
      </c>
      <c r="H73" s="228">
        <f t="shared" si="26"/>
        <v>4348488.8439849569</v>
      </c>
      <c r="I73" s="228">
        <f t="shared" si="26"/>
        <v>-60419.600000000006</v>
      </c>
      <c r="J73" s="228">
        <f t="shared" ref="J73" si="27">J67-J69-J70+J71-J72</f>
        <v>0</v>
      </c>
    </row>
    <row r="74" spans="1:10" x14ac:dyDescent="0.2">
      <c r="A74" s="214">
        <v>70</v>
      </c>
      <c r="B74" s="214"/>
      <c r="C74" s="227"/>
      <c r="D74" s="227"/>
      <c r="E74" s="227"/>
      <c r="F74" s="227"/>
      <c r="G74" s="227"/>
      <c r="H74" s="227"/>
      <c r="I74" s="227"/>
      <c r="J74" s="227"/>
    </row>
    <row r="75" spans="1:10" x14ac:dyDescent="0.2">
      <c r="A75" s="214">
        <v>71</v>
      </c>
      <c r="B75" s="214" t="s">
        <v>105</v>
      </c>
      <c r="C75" s="226">
        <f>SUM(D75:J75)</f>
        <v>0</v>
      </c>
      <c r="D75" s="226">
        <f>C162</f>
        <v>0</v>
      </c>
      <c r="E75" s="226">
        <f>C277</f>
        <v>0</v>
      </c>
      <c r="F75" s="226">
        <f>C391</f>
        <v>0</v>
      </c>
      <c r="G75" s="226">
        <f>C505</f>
        <v>0</v>
      </c>
      <c r="H75" s="226">
        <f>C620</f>
        <v>0</v>
      </c>
      <c r="I75" s="226">
        <f>C735</f>
        <v>0</v>
      </c>
      <c r="J75" s="226">
        <f>D735</f>
        <v>0</v>
      </c>
    </row>
    <row r="76" spans="1:10" x14ac:dyDescent="0.2">
      <c r="A76" s="214">
        <v>72</v>
      </c>
      <c r="B76" s="214" t="s">
        <v>106</v>
      </c>
      <c r="C76" s="226">
        <f>SUM(D76:J76)</f>
        <v>32728069.466209847</v>
      </c>
      <c r="D76" s="226">
        <f>D73-D75</f>
        <v>22751519.707498103</v>
      </c>
      <c r="E76" s="226">
        <f t="shared" ref="E76:I76" si="28">E73-E75</f>
        <v>-246336.45934545415</v>
      </c>
      <c r="F76" s="226">
        <f t="shared" si="28"/>
        <v>5934816.9740722403</v>
      </c>
      <c r="G76" s="226">
        <f t="shared" si="28"/>
        <v>0</v>
      </c>
      <c r="H76" s="226">
        <f t="shared" si="28"/>
        <v>4348488.8439849569</v>
      </c>
      <c r="I76" s="226">
        <f t="shared" si="28"/>
        <v>-60419.600000000006</v>
      </c>
      <c r="J76" s="226">
        <f t="shared" ref="J76" si="29">J73-J75</f>
        <v>0</v>
      </c>
    </row>
    <row r="77" spans="1:10" x14ac:dyDescent="0.2">
      <c r="A77" s="214">
        <v>73</v>
      </c>
      <c r="B77" s="214"/>
    </row>
    <row r="78" spans="1:10" x14ac:dyDescent="0.2">
      <c r="A78" s="214">
        <v>74</v>
      </c>
      <c r="B78" s="214" t="s">
        <v>133</v>
      </c>
      <c r="C78" s="227">
        <f>SUM(D78:J78)</f>
        <v>6872894.5879040658</v>
      </c>
      <c r="D78" s="227">
        <f t="shared" ref="D78:J78" si="30">D76*0.21</f>
        <v>4777819.1385746012</v>
      </c>
      <c r="E78" s="227">
        <f t="shared" si="30"/>
        <v>-51730.656462545368</v>
      </c>
      <c r="F78" s="227">
        <f t="shared" si="30"/>
        <v>1246311.5645551705</v>
      </c>
      <c r="G78" s="227">
        <f t="shared" si="30"/>
        <v>0</v>
      </c>
      <c r="H78" s="227">
        <f t="shared" si="30"/>
        <v>913182.65723684093</v>
      </c>
      <c r="I78" s="227">
        <f t="shared" si="30"/>
        <v>-12688.116</v>
      </c>
      <c r="J78" s="227">
        <f t="shared" si="30"/>
        <v>0</v>
      </c>
    </row>
    <row r="79" spans="1:10" x14ac:dyDescent="0.2">
      <c r="A79" s="214">
        <v>75</v>
      </c>
      <c r="B79" s="214" t="s">
        <v>132</v>
      </c>
      <c r="C79" s="227">
        <f>SUM(D79:J79)</f>
        <v>0</v>
      </c>
      <c r="D79" s="226">
        <f>SUM('Restating Adj'!C86:F86)</f>
        <v>0</v>
      </c>
      <c r="E79" s="215">
        <f>SUM('Restating Adj'!I86:R86)</f>
        <v>0</v>
      </c>
      <c r="F79" s="226">
        <f>SUM('Restating Adj'!T86:X86)</f>
        <v>0</v>
      </c>
      <c r="G79" s="226">
        <f>SUM('Restating Adj'!Y86:AC86)</f>
        <v>0</v>
      </c>
      <c r="H79" s="215">
        <f>SUM('Restating Adj'!AD86:AO86)</f>
        <v>0</v>
      </c>
      <c r="I79" s="215">
        <f>SUM('Restating Adj'!AP86:BC86)</f>
        <v>0</v>
      </c>
      <c r="J79" s="215">
        <v>0</v>
      </c>
    </row>
    <row r="80" spans="1:10" ht="13.5" thickBot="1" x14ac:dyDescent="0.25">
      <c r="A80" s="214">
        <v>76</v>
      </c>
      <c r="B80" s="214" t="s">
        <v>133</v>
      </c>
      <c r="C80" s="229">
        <f>SUM(D80:J80)</f>
        <v>6872894.5879040658</v>
      </c>
      <c r="D80" s="229">
        <f>D78+D79</f>
        <v>4777819.1385746012</v>
      </c>
      <c r="E80" s="229">
        <f t="shared" ref="E80:I80" si="31">E78+E79</f>
        <v>-51730.656462545368</v>
      </c>
      <c r="F80" s="229">
        <f t="shared" si="31"/>
        <v>1246311.5645551705</v>
      </c>
      <c r="G80" s="229">
        <f t="shared" si="31"/>
        <v>0</v>
      </c>
      <c r="H80" s="229">
        <f t="shared" si="31"/>
        <v>913182.65723684093</v>
      </c>
      <c r="I80" s="229">
        <f t="shared" si="31"/>
        <v>-12688.116</v>
      </c>
      <c r="J80" s="229">
        <f t="shared" ref="J80" si="32">J78+J79</f>
        <v>0</v>
      </c>
    </row>
    <row r="81" ht="13.5" thickTop="1" x14ac:dyDescent="0.2"/>
  </sheetData>
  <mergeCells count="1">
    <mergeCell ref="B1:I1"/>
  </mergeCells>
  <pageMargins left="0.5" right="0.5" top="0.4" bottom="0.25" header="0.25" footer="0.3"/>
  <pageSetup scale="72" orientation="portrait" r:id="rId1"/>
  <headerFooter>
    <oddHeader>&amp;R&amp;A</oddHeader>
  </headerFooter>
  <customProperties>
    <customPr name="_pios_id" r:id="rId2"/>
  </customProperties>
  <ignoredErrors>
    <ignoredError sqref="C23 C27" formula="1"/>
    <ignoredError sqref="D28:H28 J28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J81"/>
  <sheetViews>
    <sheetView view="pageBreakPreview" zoomScale="80" zoomScaleNormal="90" zoomScaleSheetLayoutView="80" workbookViewId="0"/>
  </sheetViews>
  <sheetFormatPr defaultRowHeight="12.75" x14ac:dyDescent="0.2"/>
  <cols>
    <col min="1" max="1" width="5.140625" style="212" customWidth="1"/>
    <col min="2" max="2" width="25.140625" style="212" bestFit="1" customWidth="1"/>
    <col min="3" max="3" width="13.28515625" style="212" bestFit="1" customWidth="1"/>
    <col min="4" max="8" width="12.7109375" style="212" customWidth="1"/>
    <col min="9" max="9" width="13.28515625" style="212" bestFit="1" customWidth="1"/>
    <col min="10" max="10" width="12.7109375" style="212" customWidth="1"/>
    <col min="11" max="16384" width="9.140625" style="212"/>
  </cols>
  <sheetData>
    <row r="1" spans="1:10" x14ac:dyDescent="0.2">
      <c r="B1" s="290" t="s">
        <v>223</v>
      </c>
      <c r="C1" s="290"/>
      <c r="D1" s="290"/>
      <c r="E1" s="290"/>
      <c r="F1" s="290"/>
      <c r="G1" s="290"/>
      <c r="H1" s="290"/>
      <c r="I1" s="290"/>
      <c r="J1" s="163"/>
    </row>
    <row r="3" spans="1:10" ht="51" x14ac:dyDescent="0.2">
      <c r="C3" s="213" t="s">
        <v>158</v>
      </c>
      <c r="D3" s="213" t="s">
        <v>167</v>
      </c>
      <c r="E3" s="213" t="s">
        <v>168</v>
      </c>
      <c r="F3" s="213" t="s">
        <v>169</v>
      </c>
      <c r="G3" s="213" t="s">
        <v>170</v>
      </c>
      <c r="H3" s="213" t="s">
        <v>171</v>
      </c>
      <c r="I3" s="213" t="s">
        <v>249</v>
      </c>
      <c r="J3" s="213" t="s">
        <v>314</v>
      </c>
    </row>
    <row r="5" spans="1:10" x14ac:dyDescent="0.2">
      <c r="A5" s="214">
        <v>1</v>
      </c>
      <c r="B5" s="214" t="s">
        <v>45</v>
      </c>
    </row>
    <row r="6" spans="1:10" x14ac:dyDescent="0.2">
      <c r="A6" s="214">
        <v>2</v>
      </c>
      <c r="B6" s="214" t="s">
        <v>46</v>
      </c>
      <c r="C6" s="215">
        <f>SUM(D6:J6)</f>
        <v>17418111.240000013</v>
      </c>
      <c r="D6" s="215">
        <f>SUM('Pro Forma Adj'!C12:F12)</f>
        <v>0</v>
      </c>
      <c r="E6" s="215">
        <f>SUM('Pro Forma Adj'!G12:S12)</f>
        <v>0</v>
      </c>
      <c r="F6" s="215">
        <f>SUM('Pro Forma Adj'!T12:X12)</f>
        <v>0</v>
      </c>
      <c r="G6" s="215">
        <f>SUM('Pro Forma Adj'!Y12:AC12)</f>
        <v>0</v>
      </c>
      <c r="H6" s="215">
        <f>SUM('Pro Forma Adj'!AD12:AO12)</f>
        <v>0</v>
      </c>
      <c r="I6" s="215">
        <f>SUM('Pro Forma Adj'!AP12:BC12)</f>
        <v>17418111.240000013</v>
      </c>
      <c r="J6" s="215">
        <f>SUM('Pro Forma Adj'!BD12:BG12)</f>
        <v>0</v>
      </c>
    </row>
    <row r="7" spans="1:10" x14ac:dyDescent="0.2">
      <c r="A7" s="214">
        <v>3</v>
      </c>
      <c r="B7" s="214" t="s">
        <v>47</v>
      </c>
      <c r="C7" s="215">
        <f>SUM(D7:J7)</f>
        <v>0</v>
      </c>
      <c r="D7" s="215">
        <f>SUM('Pro Forma Adj'!C13:F13)</f>
        <v>0</v>
      </c>
      <c r="E7" s="215">
        <f>SUM('Pro Forma Adj'!G13:S13)</f>
        <v>0</v>
      </c>
      <c r="F7" s="215">
        <f>SUM('Pro Forma Adj'!T13:X13)</f>
        <v>0</v>
      </c>
      <c r="G7" s="215">
        <f>SUM('Pro Forma Adj'!Y13:AC13)</f>
        <v>0</v>
      </c>
      <c r="H7" s="215">
        <f>SUM('Pro Forma Adj'!AD13:AO13)</f>
        <v>0</v>
      </c>
      <c r="I7" s="215">
        <f>SUM('Pro Forma Adj'!AP13:BC13)</f>
        <v>0</v>
      </c>
      <c r="J7" s="215">
        <f>SUM('Pro Forma Adj'!BD13:BG13)</f>
        <v>0</v>
      </c>
    </row>
    <row r="8" spans="1:10" x14ac:dyDescent="0.2">
      <c r="A8" s="214">
        <v>4</v>
      </c>
      <c r="B8" s="214" t="s">
        <v>48</v>
      </c>
      <c r="C8" s="215">
        <f>SUM(D8:J8)</f>
        <v>-14866338.791918496</v>
      </c>
      <c r="D8" s="215">
        <f>SUM('Pro Forma Adj'!C14:F14)</f>
        <v>0</v>
      </c>
      <c r="E8" s="215">
        <f>SUM('Pro Forma Adj'!G14:S14)</f>
        <v>0</v>
      </c>
      <c r="F8" s="215">
        <f>SUM('Pro Forma Adj'!T14:X14)</f>
        <v>-14800952.647608532</v>
      </c>
      <c r="G8" s="215">
        <f>SUM('Pro Forma Adj'!Y14:AC14)</f>
        <v>0</v>
      </c>
      <c r="H8" s="215">
        <f>SUM('Pro Forma Adj'!AD14:AO14)</f>
        <v>0</v>
      </c>
      <c r="I8" s="215">
        <f>SUM('Pro Forma Adj'!AP14:BC14)</f>
        <v>0</v>
      </c>
      <c r="J8" s="215">
        <f>SUM('Pro Forma Adj'!BD14:BG14)</f>
        <v>-65386.144309964031</v>
      </c>
    </row>
    <row r="9" spans="1:10" x14ac:dyDescent="0.2">
      <c r="A9" s="214">
        <v>5</v>
      </c>
      <c r="B9" s="214" t="s">
        <v>49</v>
      </c>
      <c r="C9" s="215">
        <f>SUM(D9:J9)</f>
        <v>1268157.0965046838</v>
      </c>
      <c r="D9" s="215">
        <f>SUM('Pro Forma Adj'!C15:F15)</f>
        <v>624525.65173033113</v>
      </c>
      <c r="E9" s="215">
        <f>SUM('Pro Forma Adj'!G15:S15)</f>
        <v>-427912.20158807386</v>
      </c>
      <c r="F9" s="215">
        <f>SUM('Pro Forma Adj'!T15:X15)</f>
        <v>0</v>
      </c>
      <c r="G9" s="215">
        <f>SUM('Pro Forma Adj'!Y15:AC15)</f>
        <v>0</v>
      </c>
      <c r="H9" s="215">
        <f>SUM('Pro Forma Adj'!AD15:AO15)</f>
        <v>0</v>
      </c>
      <c r="I9" s="215">
        <f>SUM('Pro Forma Adj'!AP15:BC15)</f>
        <v>47809.260000000009</v>
      </c>
      <c r="J9" s="215">
        <f>SUM('Pro Forma Adj'!BD15:BG15)</f>
        <v>1023734.3863624266</v>
      </c>
    </row>
    <row r="10" spans="1:10" x14ac:dyDescent="0.2">
      <c r="A10" s="214">
        <v>6</v>
      </c>
      <c r="B10" s="214" t="s">
        <v>50</v>
      </c>
      <c r="C10" s="216">
        <f>SUM(C6:C9)</f>
        <v>3819929.5445862012</v>
      </c>
      <c r="D10" s="216">
        <f t="shared" ref="D10:I10" si="0">SUM(D6:D9)</f>
        <v>624525.65173033113</v>
      </c>
      <c r="E10" s="216">
        <f t="shared" si="0"/>
        <v>-427912.20158807386</v>
      </c>
      <c r="F10" s="216">
        <f t="shared" si="0"/>
        <v>-14800952.647608532</v>
      </c>
      <c r="G10" s="216">
        <f t="shared" si="0"/>
        <v>0</v>
      </c>
      <c r="H10" s="216">
        <f t="shared" si="0"/>
        <v>0</v>
      </c>
      <c r="I10" s="216">
        <f t="shared" si="0"/>
        <v>17465920.500000015</v>
      </c>
      <c r="J10" s="216">
        <f t="shared" ref="J10" si="1">SUM(J6:J9)</f>
        <v>958348.24205246253</v>
      </c>
    </row>
    <row r="11" spans="1:10" x14ac:dyDescent="0.2">
      <c r="A11" s="214">
        <v>7</v>
      </c>
      <c r="B11" s="214"/>
    </row>
    <row r="12" spans="1:10" x14ac:dyDescent="0.2">
      <c r="A12" s="214">
        <v>8</v>
      </c>
      <c r="B12" s="214" t="s">
        <v>51</v>
      </c>
    </row>
    <row r="13" spans="1:10" x14ac:dyDescent="0.2">
      <c r="A13" s="214">
        <v>9</v>
      </c>
      <c r="B13" s="214" t="s">
        <v>52</v>
      </c>
      <c r="C13" s="215">
        <f t="shared" ref="C13:C22" si="2">SUM(D13:J13)</f>
        <v>3422557.9804142676</v>
      </c>
      <c r="D13" s="215">
        <f>SUM('Pro Forma Adj'!C19:F19)</f>
        <v>0</v>
      </c>
      <c r="E13" s="215">
        <f>SUM('Pro Forma Adj'!G19:S19)</f>
        <v>221873.44761927234</v>
      </c>
      <c r="F13" s="215">
        <f>SUM('Pro Forma Adj'!T19:X19)</f>
        <v>-4819811.2950298265</v>
      </c>
      <c r="G13" s="215">
        <f>SUM('Pro Forma Adj'!Y19:AC19)</f>
        <v>51760.195371981739</v>
      </c>
      <c r="H13" s="215">
        <f>SUM('Pro Forma Adj'!AD19:AO19)</f>
        <v>0</v>
      </c>
      <c r="I13" s="215">
        <f>SUM('Pro Forma Adj'!AP19:BC19)</f>
        <v>8498026.3756711129</v>
      </c>
      <c r="J13" s="215">
        <f>SUM('Pro Forma Adj'!BD19:BG19)</f>
        <v>-529290.74321827292</v>
      </c>
    </row>
    <row r="14" spans="1:10" x14ac:dyDescent="0.2">
      <c r="A14" s="214">
        <v>10</v>
      </c>
      <c r="B14" s="214" t="s">
        <v>53</v>
      </c>
      <c r="C14" s="215">
        <f t="shared" si="2"/>
        <v>0</v>
      </c>
      <c r="D14" s="215">
        <f>SUM('Pro Forma Adj'!C20:F20)</f>
        <v>0</v>
      </c>
      <c r="E14" s="215">
        <f>SUM('Pro Forma Adj'!G20:S20)</f>
        <v>0</v>
      </c>
      <c r="F14" s="215">
        <f>SUM('Pro Forma Adj'!T20:X20)</f>
        <v>0</v>
      </c>
      <c r="G14" s="215">
        <f>SUM('Pro Forma Adj'!Y20:AC20)</f>
        <v>0</v>
      </c>
      <c r="H14" s="215">
        <f>SUM('Pro Forma Adj'!AD20:AO20)</f>
        <v>0</v>
      </c>
      <c r="I14" s="215">
        <f>SUM('Pro Forma Adj'!AP20:BC20)</f>
        <v>0</v>
      </c>
      <c r="J14" s="215">
        <f>SUM('Pro Forma Adj'!BD20:BG20)</f>
        <v>0</v>
      </c>
    </row>
    <row r="15" spans="1:10" x14ac:dyDescent="0.2">
      <c r="A15" s="214">
        <v>11</v>
      </c>
      <c r="B15" s="214" t="s">
        <v>54</v>
      </c>
      <c r="C15" s="215">
        <f t="shared" si="2"/>
        <v>-3454581.1455041068</v>
      </c>
      <c r="D15" s="215">
        <f>SUM('Pro Forma Adj'!C21:F21)</f>
        <v>0</v>
      </c>
      <c r="E15" s="215">
        <f>SUM('Pro Forma Adj'!G21:S21)</f>
        <v>142370.73408091225</v>
      </c>
      <c r="F15" s="215">
        <f>SUM('Pro Forma Adj'!T21:X21)</f>
        <v>0</v>
      </c>
      <c r="G15" s="215">
        <f>SUM('Pro Forma Adj'!Y21:AC21)</f>
        <v>17854.508316736094</v>
      </c>
      <c r="H15" s="215">
        <f>SUM('Pro Forma Adj'!AD21:AO21)</f>
        <v>0</v>
      </c>
      <c r="I15" s="215">
        <f>SUM('Pro Forma Adj'!AP21:BC21)</f>
        <v>0</v>
      </c>
      <c r="J15" s="215">
        <f>SUM('Pro Forma Adj'!BD21:BG21)</f>
        <v>-3614806.387901755</v>
      </c>
    </row>
    <row r="16" spans="1:10" x14ac:dyDescent="0.2">
      <c r="A16" s="214">
        <v>12</v>
      </c>
      <c r="B16" s="214" t="s">
        <v>55</v>
      </c>
      <c r="C16" s="215">
        <f t="shared" si="2"/>
        <v>3734508.1600795565</v>
      </c>
      <c r="D16" s="215">
        <f>SUM('Pro Forma Adj'!C22:F22)</f>
        <v>0</v>
      </c>
      <c r="E16" s="215">
        <f>SUM('Pro Forma Adj'!G22:S22)</f>
        <v>137832.42359638104</v>
      </c>
      <c r="F16" s="215">
        <f>SUM('Pro Forma Adj'!T22:X22)</f>
        <v>2967204.602585102</v>
      </c>
      <c r="G16" s="215">
        <f>SUM('Pro Forma Adj'!Y22:AC22)</f>
        <v>15623.621030583408</v>
      </c>
      <c r="H16" s="215">
        <f>SUM('Pro Forma Adj'!AD22:AO22)</f>
        <v>0</v>
      </c>
      <c r="I16" s="215">
        <f>SUM('Pro Forma Adj'!AP22:BC22)</f>
        <v>1657310.668266339</v>
      </c>
      <c r="J16" s="215">
        <f>SUM('Pro Forma Adj'!BD22:BG22)</f>
        <v>-1043463.1553988494</v>
      </c>
    </row>
    <row r="17" spans="1:10" x14ac:dyDescent="0.2">
      <c r="A17" s="214">
        <v>13</v>
      </c>
      <c r="B17" s="214" t="s">
        <v>56</v>
      </c>
      <c r="C17" s="215">
        <f t="shared" si="2"/>
        <v>-16058293.141053868</v>
      </c>
      <c r="D17" s="215">
        <f>SUM('Pro Forma Adj'!C23:F23)</f>
        <v>0</v>
      </c>
      <c r="E17" s="215">
        <f>SUM('Pro Forma Adj'!G23:S23)</f>
        <v>105569.91512407501</v>
      </c>
      <c r="F17" s="215">
        <f>SUM('Pro Forma Adj'!T23:X23)</f>
        <v>-16017299.646470467</v>
      </c>
      <c r="G17" s="215">
        <f>SUM('Pro Forma Adj'!Y23:AC23)</f>
        <v>9961.9123770073802</v>
      </c>
      <c r="H17" s="215">
        <f>SUM('Pro Forma Adj'!AD23:AO23)</f>
        <v>0</v>
      </c>
      <c r="I17" s="215">
        <f>SUM('Pro Forma Adj'!AP23:BC23)</f>
        <v>0</v>
      </c>
      <c r="J17" s="215">
        <f>SUM('Pro Forma Adj'!BD23:BG23)</f>
        <v>-156525.32208448392</v>
      </c>
    </row>
    <row r="18" spans="1:10" x14ac:dyDescent="0.2">
      <c r="A18" s="214">
        <v>14</v>
      </c>
      <c r="B18" s="214" t="s">
        <v>57</v>
      </c>
      <c r="C18" s="215">
        <f t="shared" si="2"/>
        <v>393213.58067023917</v>
      </c>
      <c r="D18" s="215">
        <f>SUM('Pro Forma Adj'!C24:F24)</f>
        <v>0</v>
      </c>
      <c r="E18" s="215">
        <f>SUM('Pro Forma Adj'!G24:S24)</f>
        <v>359308.12517097819</v>
      </c>
      <c r="F18" s="215">
        <f>SUM('Pro Forma Adj'!T24:X24)</f>
        <v>0</v>
      </c>
      <c r="G18" s="215">
        <f>SUM('Pro Forma Adj'!Y24:AC24)</f>
        <v>33905.455499260992</v>
      </c>
      <c r="H18" s="215">
        <f>SUM('Pro Forma Adj'!AD24:AO24)</f>
        <v>0</v>
      </c>
      <c r="I18" s="215">
        <f>SUM('Pro Forma Adj'!AP24:BC24)</f>
        <v>0</v>
      </c>
      <c r="J18" s="215">
        <f>SUM('Pro Forma Adj'!BD24:BG24)</f>
        <v>0</v>
      </c>
    </row>
    <row r="19" spans="1:10" x14ac:dyDescent="0.2">
      <c r="A19" s="214">
        <v>15</v>
      </c>
      <c r="B19" s="214" t="s">
        <v>58</v>
      </c>
      <c r="C19" s="215">
        <f t="shared" si="2"/>
        <v>1020628.8153572457</v>
      </c>
      <c r="D19" s="215">
        <f>SUM('Pro Forma Adj'!C25:F25)</f>
        <v>0</v>
      </c>
      <c r="E19" s="215">
        <f>SUM('Pro Forma Adj'!G25:S25)</f>
        <v>1008307.4624465973</v>
      </c>
      <c r="F19" s="215">
        <f>SUM('Pro Forma Adj'!T25:X25)</f>
        <v>0</v>
      </c>
      <c r="G19" s="215">
        <f>SUM('Pro Forma Adj'!Y25:AC25)</f>
        <v>12321.352910648453</v>
      </c>
      <c r="H19" s="215">
        <f>SUM('Pro Forma Adj'!AD25:AO25)</f>
        <v>0</v>
      </c>
      <c r="I19" s="215">
        <f>SUM('Pro Forma Adj'!AP25:BC25)</f>
        <v>0</v>
      </c>
      <c r="J19" s="215">
        <f>SUM('Pro Forma Adj'!BD25:BG25)</f>
        <v>0</v>
      </c>
    </row>
    <row r="20" spans="1:10" x14ac:dyDescent="0.2">
      <c r="A20" s="214">
        <v>16</v>
      </c>
      <c r="B20" s="214" t="s">
        <v>59</v>
      </c>
      <c r="C20" s="215">
        <f t="shared" si="2"/>
        <v>27737.068649543151</v>
      </c>
      <c r="D20" s="215">
        <f>SUM('Pro Forma Adj'!C26:F26)</f>
        <v>0</v>
      </c>
      <c r="E20" s="215">
        <f>SUM('Pro Forma Adj'!G26:S26)</f>
        <v>25329.782329154819</v>
      </c>
      <c r="F20" s="215">
        <f>SUM('Pro Forma Adj'!T26:X26)</f>
        <v>0</v>
      </c>
      <c r="G20" s="215">
        <f>SUM('Pro Forma Adj'!Y26:AC26)</f>
        <v>2407.286320388333</v>
      </c>
      <c r="H20" s="215">
        <f>SUM('Pro Forma Adj'!AD26:AO26)</f>
        <v>0</v>
      </c>
      <c r="I20" s="215">
        <f>SUM('Pro Forma Adj'!AP26:BC26)</f>
        <v>0</v>
      </c>
      <c r="J20" s="215">
        <f>SUM('Pro Forma Adj'!BD26:BG26)</f>
        <v>0</v>
      </c>
    </row>
    <row r="21" spans="1:10" x14ac:dyDescent="0.2">
      <c r="A21" s="214">
        <v>17</v>
      </c>
      <c r="B21" s="214" t="s">
        <v>60</v>
      </c>
      <c r="C21" s="215">
        <f t="shared" si="2"/>
        <v>0</v>
      </c>
      <c r="D21" s="215">
        <f>SUM('Pro Forma Adj'!C27:F27)</f>
        <v>0</v>
      </c>
      <c r="E21" s="215">
        <f>SUM('Pro Forma Adj'!G27:S27)</f>
        <v>0</v>
      </c>
      <c r="F21" s="215">
        <f>SUM('Pro Forma Adj'!T27:X27)</f>
        <v>0</v>
      </c>
      <c r="G21" s="215">
        <f>SUM('Pro Forma Adj'!Y27:AC27)</f>
        <v>0</v>
      </c>
      <c r="H21" s="215">
        <f>SUM('Pro Forma Adj'!AD27:AO27)</f>
        <v>0</v>
      </c>
      <c r="I21" s="215">
        <f>SUM('Pro Forma Adj'!AP27:BC27)</f>
        <v>0</v>
      </c>
      <c r="J21" s="215">
        <f>SUM('Pro Forma Adj'!BD27:BG27)</f>
        <v>0</v>
      </c>
    </row>
    <row r="22" spans="1:10" x14ac:dyDescent="0.2">
      <c r="A22" s="214">
        <v>18</v>
      </c>
      <c r="B22" s="214" t="s">
        <v>61</v>
      </c>
      <c r="C22" s="222">
        <f t="shared" si="2"/>
        <v>389702.259528631</v>
      </c>
      <c r="D22" s="215">
        <f>SUM('Pro Forma Adj'!C28:F28)</f>
        <v>0</v>
      </c>
      <c r="E22" s="215">
        <f>SUM('Pro Forma Adj'!G28:S28)</f>
        <v>375626.11202831904</v>
      </c>
      <c r="F22" s="215">
        <f>SUM('Pro Forma Adj'!T28:X28)</f>
        <v>0</v>
      </c>
      <c r="G22" s="217">
        <f>SUM('Pro Forma Adj'!Y28:AC28)</f>
        <v>14076.147500311941</v>
      </c>
      <c r="H22" s="217">
        <f>SUM('Pro Forma Adj'!AD28:AO28)</f>
        <v>0</v>
      </c>
      <c r="I22" s="215">
        <f>SUM('Pro Forma Adj'!AP28:BC28)</f>
        <v>0</v>
      </c>
      <c r="J22" s="215">
        <f>SUM('Pro Forma Adj'!BD28:BG28)</f>
        <v>0</v>
      </c>
    </row>
    <row r="23" spans="1:10" x14ac:dyDescent="0.2">
      <c r="A23" s="214">
        <v>19</v>
      </c>
      <c r="B23" s="214" t="s">
        <v>62</v>
      </c>
      <c r="C23" s="226">
        <f>SUM(C13:C22)</f>
        <v>-10524526.421858491</v>
      </c>
      <c r="D23" s="218">
        <f t="shared" ref="D23:I23" si="3">SUM(D13:D22)</f>
        <v>0</v>
      </c>
      <c r="E23" s="218">
        <f t="shared" si="3"/>
        <v>2376218.00239569</v>
      </c>
      <c r="F23" s="218">
        <f t="shared" si="3"/>
        <v>-17869906.338915192</v>
      </c>
      <c r="G23" s="218">
        <f t="shared" si="3"/>
        <v>157910.47932691837</v>
      </c>
      <c r="H23" s="218">
        <f t="shared" si="3"/>
        <v>0</v>
      </c>
      <c r="I23" s="218">
        <f t="shared" si="3"/>
        <v>10155337.043937452</v>
      </c>
      <c r="J23" s="218">
        <f>SUM(J13:J22)</f>
        <v>-5344085.6086033611</v>
      </c>
    </row>
    <row r="24" spans="1:10" x14ac:dyDescent="0.2">
      <c r="A24" s="214">
        <v>20</v>
      </c>
      <c r="B24" s="214" t="s">
        <v>63</v>
      </c>
      <c r="C24" s="215">
        <f>SUM(D24:J24)</f>
        <v>76471624.207108542</v>
      </c>
      <c r="D24" s="215">
        <f>SUM('Pro Forma Adj'!C30:F30)</f>
        <v>0</v>
      </c>
      <c r="E24" s="215">
        <f>SUM('Pro Forma Adj'!G30:S30)</f>
        <v>0</v>
      </c>
      <c r="F24" s="215">
        <f>SUM('Pro Forma Adj'!T30:X30)</f>
        <v>0</v>
      </c>
      <c r="G24" s="215">
        <f>SUM('Pro Forma Adj'!Y30:AC30)</f>
        <v>77715142.588273495</v>
      </c>
      <c r="H24" s="215">
        <f>SUM('Pro Forma Adj'!AD30:AO30)</f>
        <v>0</v>
      </c>
      <c r="I24" s="215">
        <f>SUM('Pro Forma Adj'!AP30:BC30)</f>
        <v>-378804.47238388716</v>
      </c>
      <c r="J24" s="215">
        <f>SUM('Pro Forma Adj'!BD30:BG30)</f>
        <v>-864713.90878106561</v>
      </c>
    </row>
    <row r="25" spans="1:10" x14ac:dyDescent="0.2">
      <c r="A25" s="214">
        <v>21</v>
      </c>
      <c r="B25" s="214" t="s">
        <v>64</v>
      </c>
      <c r="C25" s="215">
        <f>SUM(D25:J25)</f>
        <v>2839433.8911172515</v>
      </c>
      <c r="D25" s="215">
        <f>SUM('Pro Forma Adj'!C31:F31)</f>
        <v>0</v>
      </c>
      <c r="E25" s="215">
        <f>SUM('Pro Forma Adj'!G31:S31)</f>
        <v>0</v>
      </c>
      <c r="F25" s="215">
        <f>SUM('Pro Forma Adj'!T31:X31)</f>
        <v>737.58465057384717</v>
      </c>
      <c r="G25" s="215">
        <f>SUM('Pro Forma Adj'!Y31:AC31)</f>
        <v>-1870637.0501716251</v>
      </c>
      <c r="H25" s="215">
        <f>SUM('Pro Forma Adj'!AD31:AO31)</f>
        <v>0</v>
      </c>
      <c r="I25" s="215">
        <f>SUM('Pro Forma Adj'!AP31:BC31)</f>
        <v>5092170.2009536093</v>
      </c>
      <c r="J25" s="215">
        <f>SUM('Pro Forma Adj'!BD31:BG31)</f>
        <v>-382836.84431530652</v>
      </c>
    </row>
    <row r="26" spans="1:10" x14ac:dyDescent="0.2">
      <c r="A26" s="214">
        <v>22</v>
      </c>
      <c r="B26" s="214" t="s">
        <v>65</v>
      </c>
      <c r="C26" s="215">
        <f>SUM(D26:J26)</f>
        <v>2319053.6036546729</v>
      </c>
      <c r="D26" s="215">
        <f>SUM('Pro Forma Adj'!C32:F32)</f>
        <v>0</v>
      </c>
      <c r="E26" s="215">
        <f>SUM('Pro Forma Adj'!G32:S32)</f>
        <v>0</v>
      </c>
      <c r="F26" s="215">
        <f>SUM('Pro Forma Adj'!T32:X32)</f>
        <v>0</v>
      </c>
      <c r="G26" s="215">
        <f>SUM('Pro Forma Adj'!Y32:AC32)</f>
        <v>0</v>
      </c>
      <c r="H26" s="215">
        <f>SUM('Pro Forma Adj'!AD32:AO32)</f>
        <v>2319053.6036546729</v>
      </c>
      <c r="I26" s="215">
        <f>SUM('Pro Forma Adj'!AP32:BC32)</f>
        <v>0</v>
      </c>
      <c r="J26" s="215">
        <f>SUM('Pro Forma Adj'!BD32:BG32)</f>
        <v>0</v>
      </c>
    </row>
    <row r="27" spans="1:10" x14ac:dyDescent="0.2">
      <c r="A27" s="214">
        <v>23</v>
      </c>
      <c r="B27" s="214" t="s">
        <v>159</v>
      </c>
      <c r="C27" s="215">
        <f>C80</f>
        <v>-22880080.093322273</v>
      </c>
      <c r="D27" s="215">
        <f>SUM('Pro Forma Adj'!C33:F33)</f>
        <v>131150.38686336952</v>
      </c>
      <c r="E27" s="215">
        <f>SUM('Pro Forma Adj'!G33:S33)</f>
        <v>-588867.34283659048</v>
      </c>
      <c r="F27" s="215">
        <f>SUM('Pro Forma Adj'!T33:X33)</f>
        <v>622611.37069163797</v>
      </c>
      <c r="G27" s="215">
        <f>SUM('Pro Forma Adj'!Y33:AC33)</f>
        <v>1417759.0162333194</v>
      </c>
      <c r="H27" s="215">
        <f>SUM('Pro Forma Adj'!AD33:AO33)</f>
        <v>-22990806.026713695</v>
      </c>
      <c r="I27" s="215">
        <f t="shared" ref="I27" si="4">I80</f>
        <v>-3449619.1823391817</v>
      </c>
      <c r="J27" s="215">
        <f>SUM('Pro Forma Adj'!BD33:BG33)</f>
        <v>1977691.6847788659</v>
      </c>
    </row>
    <row r="28" spans="1:10" x14ac:dyDescent="0.2">
      <c r="A28" s="214">
        <v>24</v>
      </c>
      <c r="B28" s="214" t="s">
        <v>160</v>
      </c>
      <c r="C28" s="215">
        <f>SUM(D28:J28)</f>
        <v>0</v>
      </c>
      <c r="D28" s="215">
        <f>SUM('Pro Forma Adj'!C34:F34)</f>
        <v>0</v>
      </c>
      <c r="E28" s="215">
        <f>SUM('Pro Forma Adj'!G34:S34)</f>
        <v>0</v>
      </c>
      <c r="F28" s="215">
        <f>SUM('Pro Forma Adj'!T34:X34)</f>
        <v>0</v>
      </c>
      <c r="G28" s="215">
        <f>SUM('Pro Forma Adj'!Y34:AC34)</f>
        <v>0</v>
      </c>
      <c r="H28" s="215">
        <f>SUM('Pro Forma Adj'!AD34:AO34)</f>
        <v>0</v>
      </c>
      <c r="I28" s="215">
        <f t="shared" ref="I28" si="5">I75</f>
        <v>0</v>
      </c>
      <c r="J28" s="215">
        <f>SUM('Pro Forma Adj'!BD34:BG34)</f>
        <v>0</v>
      </c>
    </row>
    <row r="29" spans="1:10" x14ac:dyDescent="0.2">
      <c r="A29" s="214">
        <v>25</v>
      </c>
      <c r="B29" s="214" t="s">
        <v>161</v>
      </c>
      <c r="C29" s="215">
        <f>SUM(D29:J29)</f>
        <v>-7298681.5186132751</v>
      </c>
      <c r="D29" s="215">
        <f>SUM('Pro Forma Adj'!C35:F35)</f>
        <v>0</v>
      </c>
      <c r="E29" s="215">
        <f>SUM('Pro Forma Adj'!G35:S35)</f>
        <v>0</v>
      </c>
      <c r="F29" s="215">
        <f>SUM('Pro Forma Adj'!T35:X35)</f>
        <v>25422.566311240989</v>
      </c>
      <c r="G29" s="215">
        <f>SUM('Pro Forma Adj'!Y35:AC35)</f>
        <v>-23692931.812415481</v>
      </c>
      <c r="H29" s="215">
        <f>SUM('Pro Forma Adj'!AD35:AO35)</f>
        <v>12198745.923248233</v>
      </c>
      <c r="I29" s="215">
        <f>SUM('Pro Forma Adj'!AP35:BC35)</f>
        <v>4629313.221375009</v>
      </c>
      <c r="J29" s="215">
        <f>SUM('Pro Forma Adj'!BD35:BG35)</f>
        <v>-459231.41713227727</v>
      </c>
    </row>
    <row r="30" spans="1:10" x14ac:dyDescent="0.2">
      <c r="A30" s="214">
        <v>26</v>
      </c>
      <c r="B30" s="214" t="s">
        <v>69</v>
      </c>
      <c r="C30" s="215">
        <f>SUM(D30:J30)</f>
        <v>0</v>
      </c>
      <c r="D30" s="215">
        <f>SUM('Pro Forma Adj'!C36:F36)</f>
        <v>0</v>
      </c>
      <c r="E30" s="215">
        <f>SUM('Pro Forma Adj'!G36:S36)</f>
        <v>0</v>
      </c>
      <c r="F30" s="215">
        <f>SUM('Pro Forma Adj'!T36:X36)</f>
        <v>0</v>
      </c>
      <c r="G30" s="215">
        <f>SUM('Pro Forma Adj'!Y36:AC36)</f>
        <v>0</v>
      </c>
      <c r="H30" s="215">
        <f>SUM('Pro Forma Adj'!AD36:AO36)</f>
        <v>0</v>
      </c>
      <c r="I30" s="215">
        <f>SUM('Pro Forma Adj'!AP36:BC36)</f>
        <v>0</v>
      </c>
      <c r="J30" s="215">
        <f>SUM('Pro Forma Adj'!BD36:BG36)</f>
        <v>0</v>
      </c>
    </row>
    <row r="31" spans="1:10" x14ac:dyDescent="0.2">
      <c r="A31" s="214">
        <v>27</v>
      </c>
      <c r="B31" s="214" t="s">
        <v>70</v>
      </c>
      <c r="C31" s="215">
        <f>SUM(D31:J31)</f>
        <v>0</v>
      </c>
      <c r="D31" s="215">
        <f>SUM('Pro Forma Adj'!C37:F37)</f>
        <v>0</v>
      </c>
      <c r="E31" s="215">
        <f>SUM('Pro Forma Adj'!G37:S37)</f>
        <v>0</v>
      </c>
      <c r="F31" s="215">
        <f>SUM('Pro Forma Adj'!T37:X37)</f>
        <v>0</v>
      </c>
      <c r="G31" s="215">
        <f>SUM('Pro Forma Adj'!Y37:AC37)</f>
        <v>0</v>
      </c>
      <c r="H31" s="215">
        <f>SUM('Pro Forma Adj'!AD37:AO37)</f>
        <v>0</v>
      </c>
      <c r="I31" s="215">
        <f>SUM('Pro Forma Adj'!AP37:BC37)</f>
        <v>0</v>
      </c>
      <c r="J31" s="215">
        <f>SUM('Pro Forma Adj'!BD37:BG37)</f>
        <v>0</v>
      </c>
    </row>
    <row r="32" spans="1:10" x14ac:dyDescent="0.2">
      <c r="A32" s="214">
        <v>28</v>
      </c>
      <c r="B32" s="219" t="s">
        <v>71</v>
      </c>
      <c r="C32" s="220">
        <f>SUM(C23:C31)</f>
        <v>40926823.66808641</v>
      </c>
      <c r="D32" s="220">
        <f t="shared" ref="D32:I32" si="6">SUM(D23:D31)</f>
        <v>131150.38686336952</v>
      </c>
      <c r="E32" s="220">
        <f t="shared" si="6"/>
        <v>1787350.6595590995</v>
      </c>
      <c r="F32" s="220">
        <f t="shared" si="6"/>
        <v>-17221134.817261741</v>
      </c>
      <c r="G32" s="220">
        <f t="shared" si="6"/>
        <v>53727243.22124663</v>
      </c>
      <c r="H32" s="220">
        <f t="shared" si="6"/>
        <v>-8473006.4998107906</v>
      </c>
      <c r="I32" s="220">
        <f t="shared" si="6"/>
        <v>16048396.811543003</v>
      </c>
      <c r="J32" s="220">
        <f t="shared" ref="J32" si="7">SUM(J23:J31)</f>
        <v>-5073176.0940531436</v>
      </c>
    </row>
    <row r="33" spans="1:10" x14ac:dyDescent="0.2">
      <c r="A33" s="214">
        <v>29</v>
      </c>
      <c r="B33" s="214"/>
    </row>
    <row r="34" spans="1:10" ht="13.5" thickBot="1" x14ac:dyDescent="0.25">
      <c r="A34" s="214">
        <v>30</v>
      </c>
      <c r="B34" s="214" t="s">
        <v>72</v>
      </c>
      <c r="C34" s="221">
        <f>C10-C32</f>
        <v>-37106894.123500206</v>
      </c>
      <c r="D34" s="221">
        <f t="shared" ref="D34:I34" si="8">D10-D32</f>
        <v>493375.26486696163</v>
      </c>
      <c r="E34" s="221">
        <f t="shared" si="8"/>
        <v>-2215262.8611471732</v>
      </c>
      <c r="F34" s="221">
        <f t="shared" si="8"/>
        <v>2420182.1696532089</v>
      </c>
      <c r="G34" s="221">
        <f t="shared" si="8"/>
        <v>-53727243.22124663</v>
      </c>
      <c r="H34" s="221">
        <f t="shared" si="8"/>
        <v>8473006.4998107906</v>
      </c>
      <c r="I34" s="221">
        <f t="shared" si="8"/>
        <v>1417523.6884570122</v>
      </c>
      <c r="J34" s="221">
        <f t="shared" ref="J34" si="9">J10-J32</f>
        <v>6031524.3361056065</v>
      </c>
    </row>
    <row r="35" spans="1:10" ht="13.5" thickTop="1" x14ac:dyDescent="0.2">
      <c r="A35" s="214">
        <v>31</v>
      </c>
      <c r="B35" s="214"/>
    </row>
    <row r="36" spans="1:10" x14ac:dyDescent="0.2">
      <c r="A36" s="214">
        <v>32</v>
      </c>
      <c r="B36" s="214" t="s">
        <v>73</v>
      </c>
    </row>
    <row r="37" spans="1:10" x14ac:dyDescent="0.2">
      <c r="A37" s="214">
        <v>33</v>
      </c>
      <c r="B37" s="214" t="s">
        <v>74</v>
      </c>
      <c r="C37" s="215">
        <f t="shared" ref="C37:C47" si="10">SUM(D37:J37)</f>
        <v>196443909.24116504</v>
      </c>
      <c r="D37" s="215">
        <f>SUM('Pro Forma Adj'!C43:F43)</f>
        <v>0</v>
      </c>
      <c r="E37" s="215">
        <f>SUM('Pro Forma Adj'!G43:S43)</f>
        <v>0</v>
      </c>
      <c r="F37" s="215">
        <f>SUM('Pro Forma Adj'!T43:X43)</f>
        <v>312444.16559885937</v>
      </c>
      <c r="G37" s="215">
        <f>SUM('Pro Forma Adj'!Y43:AC43)</f>
        <v>0</v>
      </c>
      <c r="H37" s="215">
        <f>SUM('Pro Forma Adj'!AD43:AO43)</f>
        <v>0</v>
      </c>
      <c r="I37" s="215">
        <f>SUM('Pro Forma Adj'!AP43:BC43)</f>
        <v>250657500.1654703</v>
      </c>
      <c r="J37" s="215">
        <f>SUM('Pro Forma Adj'!BD43:BG43)</f>
        <v>-54526035.089904122</v>
      </c>
    </row>
    <row r="38" spans="1:10" x14ac:dyDescent="0.2">
      <c r="A38" s="214">
        <v>34</v>
      </c>
      <c r="B38" s="214" t="s">
        <v>75</v>
      </c>
      <c r="C38" s="215">
        <f t="shared" si="10"/>
        <v>0</v>
      </c>
      <c r="D38" s="215">
        <f>SUM('Pro Forma Adj'!C44:F44)</f>
        <v>0</v>
      </c>
      <c r="E38" s="215">
        <f>SUM('Pro Forma Adj'!G44:S44)</f>
        <v>0</v>
      </c>
      <c r="F38" s="215">
        <f>SUM('Pro Forma Adj'!T44:X44)</f>
        <v>0</v>
      </c>
      <c r="G38" s="215">
        <f>SUM('Pro Forma Adj'!Y44:AC44)</f>
        <v>0</v>
      </c>
      <c r="H38" s="215">
        <f>SUM('Pro Forma Adj'!AD44:AO44)</f>
        <v>0</v>
      </c>
      <c r="I38" s="215">
        <f>SUM('Pro Forma Adj'!AP44:BC44)</f>
        <v>0</v>
      </c>
      <c r="J38" s="215">
        <f>SUM('Pro Forma Adj'!BD44:BG44)</f>
        <v>0</v>
      </c>
    </row>
    <row r="39" spans="1:10" x14ac:dyDescent="0.2">
      <c r="A39" s="214">
        <v>35</v>
      </c>
      <c r="B39" s="214" t="s">
        <v>76</v>
      </c>
      <c r="C39" s="215">
        <f t="shared" si="10"/>
        <v>155438.60167140973</v>
      </c>
      <c r="D39" s="215">
        <f>SUM('Pro Forma Adj'!C45:F45)</f>
        <v>0</v>
      </c>
      <c r="E39" s="215">
        <f>SUM('Pro Forma Adj'!G45:S45)</f>
        <v>0</v>
      </c>
      <c r="F39" s="215">
        <f>SUM('Pro Forma Adj'!T45:X45)</f>
        <v>0</v>
      </c>
      <c r="G39" s="215">
        <f>SUM('Pro Forma Adj'!Y45:AC45)</f>
        <v>0</v>
      </c>
      <c r="H39" s="215">
        <f>SUM('Pro Forma Adj'!AD45:AO45)</f>
        <v>0</v>
      </c>
      <c r="I39" s="215">
        <f>SUM('Pro Forma Adj'!AP45:BC45)</f>
        <v>155438.60167140973</v>
      </c>
      <c r="J39" s="215">
        <f>SUM('Pro Forma Adj'!BD45:BG45)</f>
        <v>0</v>
      </c>
    </row>
    <row r="40" spans="1:10" x14ac:dyDescent="0.2">
      <c r="A40" s="214">
        <v>36</v>
      </c>
      <c r="B40" s="214" t="s">
        <v>77</v>
      </c>
      <c r="C40" s="215">
        <f t="shared" si="10"/>
        <v>0</v>
      </c>
      <c r="D40" s="215">
        <f>SUM('Pro Forma Adj'!C46:F46)</f>
        <v>0</v>
      </c>
      <c r="E40" s="215">
        <f>SUM('Pro Forma Adj'!G46:S46)</f>
        <v>0</v>
      </c>
      <c r="F40" s="215">
        <f>SUM('Pro Forma Adj'!T46:X46)</f>
        <v>0</v>
      </c>
      <c r="G40" s="215">
        <f>SUM('Pro Forma Adj'!Y46:AC46)</f>
        <v>0</v>
      </c>
      <c r="H40" s="215">
        <f>SUM('Pro Forma Adj'!AD46:AO46)</f>
        <v>0</v>
      </c>
      <c r="I40" s="215">
        <f>SUM('Pro Forma Adj'!AP46:BC46)</f>
        <v>0</v>
      </c>
      <c r="J40" s="215">
        <f>SUM('Pro Forma Adj'!BD46:BG46)</f>
        <v>0</v>
      </c>
    </row>
    <row r="41" spans="1:10" x14ac:dyDescent="0.2">
      <c r="A41" s="214">
        <v>37</v>
      </c>
      <c r="B41" s="214" t="s">
        <v>78</v>
      </c>
      <c r="C41" s="215">
        <f t="shared" si="10"/>
        <v>0</v>
      </c>
      <c r="D41" s="215">
        <f>SUM('Pro Forma Adj'!C47:F47)</f>
        <v>0</v>
      </c>
      <c r="E41" s="215">
        <f>SUM('Pro Forma Adj'!G47:S47)</f>
        <v>0</v>
      </c>
      <c r="F41" s="215">
        <f>SUM('Pro Forma Adj'!T47:X47)</f>
        <v>0</v>
      </c>
      <c r="G41" s="215">
        <f>SUM('Pro Forma Adj'!Y47:AC47)</f>
        <v>0</v>
      </c>
      <c r="H41" s="215">
        <f>SUM('Pro Forma Adj'!AD47:AO47)</f>
        <v>0</v>
      </c>
      <c r="I41" s="215">
        <f>SUM('Pro Forma Adj'!AP47:BC47)</f>
        <v>0</v>
      </c>
      <c r="J41" s="215">
        <f>SUM('Pro Forma Adj'!BD47:BG47)</f>
        <v>0</v>
      </c>
    </row>
    <row r="42" spans="1:10" x14ac:dyDescent="0.2">
      <c r="A42" s="214">
        <v>38</v>
      </c>
      <c r="B42" s="214" t="s">
        <v>79</v>
      </c>
      <c r="C42" s="215">
        <f t="shared" si="10"/>
        <v>0</v>
      </c>
      <c r="D42" s="215">
        <f>SUM('Pro Forma Adj'!C48:F48)</f>
        <v>0</v>
      </c>
      <c r="E42" s="215">
        <f>SUM('Pro Forma Adj'!G48:S48)</f>
        <v>0</v>
      </c>
      <c r="F42" s="215">
        <f>SUM('Pro Forma Adj'!T48:X48)</f>
        <v>0</v>
      </c>
      <c r="G42" s="215">
        <f>SUM('Pro Forma Adj'!Y48:AC48)</f>
        <v>0</v>
      </c>
      <c r="H42" s="215">
        <f>SUM('Pro Forma Adj'!AD48:AO48)</f>
        <v>0</v>
      </c>
      <c r="I42" s="215">
        <f>SUM('Pro Forma Adj'!AP48:BC48)</f>
        <v>0</v>
      </c>
      <c r="J42" s="215">
        <f>SUM('Pro Forma Adj'!BD48:BG48)</f>
        <v>0</v>
      </c>
    </row>
    <row r="43" spans="1:10" x14ac:dyDescent="0.2">
      <c r="A43" s="214">
        <v>39</v>
      </c>
      <c r="B43" s="214" t="s">
        <v>80</v>
      </c>
      <c r="C43" s="215">
        <f t="shared" si="10"/>
        <v>0</v>
      </c>
      <c r="D43" s="215">
        <f>SUM('Pro Forma Adj'!C49:F49)</f>
        <v>0</v>
      </c>
      <c r="E43" s="215">
        <f>SUM('Pro Forma Adj'!G49:S49)</f>
        <v>0</v>
      </c>
      <c r="F43" s="215">
        <f>SUM('Pro Forma Adj'!T49:X49)</f>
        <v>0</v>
      </c>
      <c r="G43" s="215">
        <f>SUM('Pro Forma Adj'!Y49:AC49)</f>
        <v>0</v>
      </c>
      <c r="H43" s="215">
        <f>SUM('Pro Forma Adj'!AD49:AO49)</f>
        <v>0</v>
      </c>
      <c r="I43" s="215">
        <f>SUM('Pro Forma Adj'!AP49:BC49)</f>
        <v>0</v>
      </c>
      <c r="J43" s="215">
        <f>SUM('Pro Forma Adj'!BD49:BG49)</f>
        <v>0</v>
      </c>
    </row>
    <row r="44" spans="1:10" x14ac:dyDescent="0.2">
      <c r="A44" s="214">
        <v>40</v>
      </c>
      <c r="B44" s="214" t="s">
        <v>81</v>
      </c>
      <c r="C44" s="215">
        <f t="shared" si="10"/>
        <v>0</v>
      </c>
      <c r="D44" s="215">
        <f>SUM('Pro Forma Adj'!C50:F50)</f>
        <v>0</v>
      </c>
      <c r="E44" s="215">
        <f>SUM('Pro Forma Adj'!G50:S50)</f>
        <v>0</v>
      </c>
      <c r="F44" s="215">
        <f>SUM('Pro Forma Adj'!T50:X50)</f>
        <v>0</v>
      </c>
      <c r="G44" s="215">
        <f>SUM('Pro Forma Adj'!Y50:AC50)</f>
        <v>0</v>
      </c>
      <c r="H44" s="215">
        <f>SUM('Pro Forma Adj'!AD50:AO50)</f>
        <v>0</v>
      </c>
      <c r="I44" s="215">
        <f>SUM('Pro Forma Adj'!AP50:BC50)</f>
        <v>0</v>
      </c>
      <c r="J44" s="215">
        <f>SUM('Pro Forma Adj'!BD50:BG50)</f>
        <v>0</v>
      </c>
    </row>
    <row r="45" spans="1:10" x14ac:dyDescent="0.2">
      <c r="A45" s="214">
        <v>41</v>
      </c>
      <c r="B45" s="214" t="s">
        <v>82</v>
      </c>
      <c r="C45" s="215">
        <f t="shared" si="10"/>
        <v>0</v>
      </c>
      <c r="D45" s="215">
        <f>SUM('Pro Forma Adj'!C51:F51)</f>
        <v>0</v>
      </c>
      <c r="E45" s="215">
        <f>SUM('Pro Forma Adj'!G51:S51)</f>
        <v>0</v>
      </c>
      <c r="F45" s="215">
        <f>SUM('Pro Forma Adj'!T51:X51)</f>
        <v>0</v>
      </c>
      <c r="G45" s="215">
        <f>SUM('Pro Forma Adj'!Y51:AC51)</f>
        <v>0</v>
      </c>
      <c r="H45" s="215">
        <f>SUM('Pro Forma Adj'!AD51:AO51)</f>
        <v>0</v>
      </c>
      <c r="I45" s="215">
        <f>SUM('Pro Forma Adj'!AP51:BC51)</f>
        <v>0</v>
      </c>
      <c r="J45" s="215">
        <f>SUM('Pro Forma Adj'!BD51:BG51)</f>
        <v>0</v>
      </c>
    </row>
    <row r="46" spans="1:10" x14ac:dyDescent="0.2">
      <c r="A46" s="214">
        <v>42</v>
      </c>
      <c r="B46" s="214" t="s">
        <v>162</v>
      </c>
      <c r="C46" s="215">
        <f t="shared" si="10"/>
        <v>0</v>
      </c>
      <c r="D46" s="215">
        <f>SUM('Pro Forma Adj'!C52:F52)</f>
        <v>0</v>
      </c>
      <c r="E46" s="215">
        <f>SUM('Pro Forma Adj'!G52:S52)</f>
        <v>0</v>
      </c>
      <c r="F46" s="215">
        <f>SUM('Pro Forma Adj'!T52:X52)</f>
        <v>0</v>
      </c>
      <c r="G46" s="215">
        <f>SUM('Pro Forma Adj'!Y52:AC52)</f>
        <v>0</v>
      </c>
      <c r="H46" s="215">
        <f>SUM('Pro Forma Adj'!AD52:AO52)</f>
        <v>0</v>
      </c>
      <c r="I46" s="215">
        <f>SUM('Pro Forma Adj'!AP52:BC52)</f>
        <v>0</v>
      </c>
      <c r="J46" s="215">
        <f>SUM('Pro Forma Adj'!BD52:BG52)</f>
        <v>0</v>
      </c>
    </row>
    <row r="47" spans="1:10" x14ac:dyDescent="0.2">
      <c r="A47" s="214">
        <v>43</v>
      </c>
      <c r="B47" s="214" t="s">
        <v>84</v>
      </c>
      <c r="C47" s="215">
        <f t="shared" si="10"/>
        <v>0</v>
      </c>
      <c r="D47" s="215">
        <f>SUM('Pro Forma Adj'!C53:F53)</f>
        <v>0</v>
      </c>
      <c r="E47" s="215">
        <f>SUM('Pro Forma Adj'!G53:S53)</f>
        <v>0</v>
      </c>
      <c r="F47" s="215">
        <f>SUM('Pro Forma Adj'!T53:X53)</f>
        <v>0</v>
      </c>
      <c r="G47" s="215">
        <f>SUM('Pro Forma Adj'!Y53:AC53)</f>
        <v>0</v>
      </c>
      <c r="H47" s="215">
        <f>SUM('Pro Forma Adj'!AD53:AO53)</f>
        <v>0</v>
      </c>
      <c r="I47" s="215">
        <f>SUM('Pro Forma Adj'!AP53:BC53)</f>
        <v>0</v>
      </c>
      <c r="J47" s="215">
        <f>SUM('Pro Forma Adj'!BD53:BG53)</f>
        <v>0</v>
      </c>
    </row>
    <row r="48" spans="1:10" x14ac:dyDescent="0.2">
      <c r="A48" s="214">
        <v>44</v>
      </c>
      <c r="B48" s="214" t="s">
        <v>85</v>
      </c>
      <c r="C48" s="220">
        <f>SUM(C37:C47)</f>
        <v>196599347.84283644</v>
      </c>
      <c r="D48" s="220">
        <f t="shared" ref="D48:I48" si="11">SUM(D37:D47)</f>
        <v>0</v>
      </c>
      <c r="E48" s="220">
        <f t="shared" si="11"/>
        <v>0</v>
      </c>
      <c r="F48" s="220">
        <f t="shared" si="11"/>
        <v>312444.16559885937</v>
      </c>
      <c r="G48" s="220">
        <f t="shared" si="11"/>
        <v>0</v>
      </c>
      <c r="H48" s="220">
        <f t="shared" si="11"/>
        <v>0</v>
      </c>
      <c r="I48" s="220">
        <f t="shared" si="11"/>
        <v>250812938.7671417</v>
      </c>
      <c r="J48" s="220">
        <f t="shared" ref="J48" si="12">SUM(J37:J47)</f>
        <v>-54526035.089904122</v>
      </c>
    </row>
    <row r="49" spans="1:10" x14ac:dyDescent="0.2">
      <c r="A49" s="214">
        <v>45</v>
      </c>
      <c r="B49" s="214"/>
    </row>
    <row r="50" spans="1:10" x14ac:dyDescent="0.2">
      <c r="A50" s="214">
        <v>46</v>
      </c>
      <c r="B50" s="214" t="s">
        <v>163</v>
      </c>
    </row>
    <row r="51" spans="1:10" x14ac:dyDescent="0.2">
      <c r="A51" s="214">
        <v>47</v>
      </c>
      <c r="B51" s="214" t="s">
        <v>87</v>
      </c>
      <c r="C51" s="215">
        <f t="shared" ref="C51:C57" si="13">SUM(D51:J51)</f>
        <v>33082154.383554194</v>
      </c>
      <c r="D51" s="215">
        <f>SUM('Pro Forma Adj'!C57:F57)</f>
        <v>0</v>
      </c>
      <c r="E51" s="215">
        <f>SUM('Pro Forma Adj'!G57:S57)</f>
        <v>0</v>
      </c>
      <c r="F51" s="215">
        <f>SUM('Pro Forma Adj'!T57:X57)</f>
        <v>0</v>
      </c>
      <c r="G51" s="215">
        <f>SUM('Pro Forma Adj'!Y57:AC57)</f>
        <v>-85461434.740104482</v>
      </c>
      <c r="H51" s="215">
        <f>SUM('Pro Forma Adj'!AD57:AO57)</f>
        <v>0</v>
      </c>
      <c r="I51" s="215">
        <f>SUM('Pro Forma Adj'!AP57:BC57)</f>
        <v>93799080.258077681</v>
      </c>
      <c r="J51" s="215">
        <f>SUM('Pro Forma Adj'!BD57:BG57)</f>
        <v>24744508.865580995</v>
      </c>
    </row>
    <row r="52" spans="1:10" x14ac:dyDescent="0.2">
      <c r="A52" s="214">
        <v>48</v>
      </c>
      <c r="B52" s="214" t="s">
        <v>88</v>
      </c>
      <c r="C52" s="215">
        <f t="shared" si="13"/>
        <v>2103615.8250537398</v>
      </c>
      <c r="D52" s="215">
        <f>SUM('Pro Forma Adj'!C58:F58)</f>
        <v>0</v>
      </c>
      <c r="E52" s="215">
        <f>SUM('Pro Forma Adj'!G58:S58)</f>
        <v>0</v>
      </c>
      <c r="F52" s="215">
        <f>SUM('Pro Forma Adj'!T58:X58)</f>
        <v>-399.52501906083393</v>
      </c>
      <c r="G52" s="215">
        <f>SUM('Pro Forma Adj'!Y58:AC58)</f>
        <v>-3259460.7923998372</v>
      </c>
      <c r="H52" s="215">
        <f>SUM('Pro Forma Adj'!AD58:AO58)</f>
        <v>0</v>
      </c>
      <c r="I52" s="215">
        <f>SUM('Pro Forma Adj'!AP58:BC58)</f>
        <v>0</v>
      </c>
      <c r="J52" s="215">
        <f>SUM('Pro Forma Adj'!BD58:BG58)</f>
        <v>5363476.1424726378</v>
      </c>
    </row>
    <row r="53" spans="1:10" x14ac:dyDescent="0.2">
      <c r="A53" s="214">
        <v>49</v>
      </c>
      <c r="B53" s="214" t="s">
        <v>89</v>
      </c>
      <c r="C53" s="215">
        <f t="shared" si="13"/>
        <v>38202167.239522733</v>
      </c>
      <c r="D53" s="215">
        <f>SUM('Pro Forma Adj'!C59:F59)</f>
        <v>0</v>
      </c>
      <c r="E53" s="215">
        <f>SUM('Pro Forma Adj'!G59:S59)</f>
        <v>0</v>
      </c>
      <c r="F53" s="215">
        <f>SUM('Pro Forma Adj'!T59:X59)</f>
        <v>-25509.425789277473</v>
      </c>
      <c r="G53" s="215">
        <f>SUM('Pro Forma Adj'!Y59:AC59)</f>
        <v>10173154.57103519</v>
      </c>
      <c r="H53" s="215">
        <f>SUM('Pro Forma Adj'!AD59:AO59)</f>
        <v>33894843.152120747</v>
      </c>
      <c r="I53" s="215">
        <f>SUM('Pro Forma Adj'!AP59:BC59)</f>
        <v>-2519169.6673885649</v>
      </c>
      <c r="J53" s="215">
        <f>SUM('Pro Forma Adj'!BD59:BG59)</f>
        <v>-3321151.3904553587</v>
      </c>
    </row>
    <row r="54" spans="1:10" x14ac:dyDescent="0.2">
      <c r="A54" s="214">
        <v>50</v>
      </c>
      <c r="B54" s="214" t="s">
        <v>90</v>
      </c>
      <c r="C54" s="215">
        <f t="shared" si="13"/>
        <v>0</v>
      </c>
      <c r="D54" s="215">
        <f>SUM('Pro Forma Adj'!C60:F60)</f>
        <v>0</v>
      </c>
      <c r="E54" s="215">
        <f>SUM('Pro Forma Adj'!G60:S60)</f>
        <v>0</v>
      </c>
      <c r="F54" s="215">
        <f>SUM('Pro Forma Adj'!T60:X60)</f>
        <v>0</v>
      </c>
      <c r="G54" s="215">
        <f>SUM('Pro Forma Adj'!Y60:AC60)</f>
        <v>0</v>
      </c>
      <c r="H54" s="215">
        <f>SUM('Pro Forma Adj'!AD60:AO60)</f>
        <v>0</v>
      </c>
      <c r="I54" s="215">
        <f>SUM('Pro Forma Adj'!AP60:BC60)</f>
        <v>0</v>
      </c>
      <c r="J54" s="215">
        <f>SUM('Pro Forma Adj'!BD60:BG60)</f>
        <v>0</v>
      </c>
    </row>
    <row r="55" spans="1:10" x14ac:dyDescent="0.2">
      <c r="A55" s="214">
        <v>51</v>
      </c>
      <c r="B55" s="214" t="s">
        <v>91</v>
      </c>
      <c r="C55" s="215">
        <f t="shared" si="13"/>
        <v>0</v>
      </c>
      <c r="D55" s="215">
        <f>SUM('Pro Forma Adj'!C61:F61)</f>
        <v>0</v>
      </c>
      <c r="E55" s="215">
        <f>SUM('Pro Forma Adj'!G61:S61)</f>
        <v>0</v>
      </c>
      <c r="F55" s="215">
        <f>SUM('Pro Forma Adj'!T61:X61)</f>
        <v>0</v>
      </c>
      <c r="G55" s="215">
        <f>SUM('Pro Forma Adj'!Y61:AC61)</f>
        <v>0</v>
      </c>
      <c r="H55" s="215">
        <f>SUM('Pro Forma Adj'!AD61:AO61)</f>
        <v>0</v>
      </c>
      <c r="I55" s="215">
        <f>SUM('Pro Forma Adj'!AP61:BC61)</f>
        <v>0</v>
      </c>
      <c r="J55" s="215">
        <f>SUM('Pro Forma Adj'!BD61:BG61)</f>
        <v>0</v>
      </c>
    </row>
    <row r="56" spans="1:10" x14ac:dyDescent="0.2">
      <c r="A56" s="214">
        <v>52</v>
      </c>
      <c r="B56" s="214" t="s">
        <v>92</v>
      </c>
      <c r="C56" s="215">
        <f t="shared" si="13"/>
        <v>0</v>
      </c>
      <c r="D56" s="215">
        <f>SUM('Pro Forma Adj'!C62:F62)</f>
        <v>0</v>
      </c>
      <c r="E56" s="215">
        <f>SUM('Pro Forma Adj'!G62:S62)</f>
        <v>0</v>
      </c>
      <c r="F56" s="215">
        <f>SUM('Pro Forma Adj'!T62:X62)</f>
        <v>0</v>
      </c>
      <c r="G56" s="215">
        <f>SUM('Pro Forma Adj'!Y62:AC62)</f>
        <v>0</v>
      </c>
      <c r="H56" s="215">
        <f>SUM('Pro Forma Adj'!AD62:AO62)</f>
        <v>0</v>
      </c>
      <c r="I56" s="215">
        <f>SUM('Pro Forma Adj'!AP62:BC62)</f>
        <v>0</v>
      </c>
      <c r="J56" s="215">
        <f>SUM('Pro Forma Adj'!BD62:BG62)</f>
        <v>0</v>
      </c>
    </row>
    <row r="57" spans="1:10" x14ac:dyDescent="0.2">
      <c r="A57" s="214">
        <v>53</v>
      </c>
      <c r="B57" s="214" t="s">
        <v>164</v>
      </c>
      <c r="C57" s="215">
        <f t="shared" si="13"/>
        <v>-23019462.641530417</v>
      </c>
      <c r="D57" s="215">
        <f>SUM('Pro Forma Adj'!C63:F63)</f>
        <v>0</v>
      </c>
      <c r="E57" s="215">
        <f>SUM('Pro Forma Adj'!G63:S63)</f>
        <v>0</v>
      </c>
      <c r="F57" s="215">
        <f>SUM('Pro Forma Adj'!T63:X63)</f>
        <v>0</v>
      </c>
      <c r="G57" s="215">
        <f>SUM('Pro Forma Adj'!Y63:AC63)</f>
        <v>0</v>
      </c>
      <c r="H57" s="215">
        <f>SUM('Pro Forma Adj'!AD63:AO63)</f>
        <v>0</v>
      </c>
      <c r="I57" s="215">
        <f>SUM('Pro Forma Adj'!AP63:BC63)</f>
        <v>-23019462.641530417</v>
      </c>
      <c r="J57" s="215">
        <f>SUM('Pro Forma Adj'!BD63:BG63)</f>
        <v>0</v>
      </c>
    </row>
    <row r="58" spans="1:10" x14ac:dyDescent="0.2">
      <c r="A58" s="214">
        <v>54</v>
      </c>
      <c r="B58" s="214"/>
      <c r="E58" s="215"/>
      <c r="F58" s="215"/>
      <c r="G58" s="215"/>
    </row>
    <row r="59" spans="1:10" x14ac:dyDescent="0.2">
      <c r="A59" s="214">
        <v>55</v>
      </c>
      <c r="B59" s="214" t="s">
        <v>165</v>
      </c>
      <c r="C59" s="220">
        <f>SUM(C51:C58)</f>
        <v>50368474.80660025</v>
      </c>
      <c r="D59" s="220">
        <f t="shared" ref="D59:I59" si="14">SUM(D51:D58)</f>
        <v>0</v>
      </c>
      <c r="E59" s="220">
        <f t="shared" si="14"/>
        <v>0</v>
      </c>
      <c r="F59" s="220">
        <f t="shared" si="14"/>
        <v>-25908.950808338308</v>
      </c>
      <c r="G59" s="220">
        <f t="shared" si="14"/>
        <v>-78547740.961469129</v>
      </c>
      <c r="H59" s="220">
        <f t="shared" si="14"/>
        <v>33894843.152120747</v>
      </c>
      <c r="I59" s="220">
        <f t="shared" si="14"/>
        <v>68260447.949158698</v>
      </c>
      <c r="J59" s="220">
        <f t="shared" ref="J59" si="15">SUM(J51:J58)</f>
        <v>26786833.617598273</v>
      </c>
    </row>
    <row r="60" spans="1:10" x14ac:dyDescent="0.2">
      <c r="A60" s="214">
        <v>56</v>
      </c>
      <c r="B60" s="214"/>
    </row>
    <row r="61" spans="1:10" ht="13.5" thickBot="1" x14ac:dyDescent="0.25">
      <c r="A61" s="214">
        <v>57</v>
      </c>
      <c r="B61" s="214" t="s">
        <v>95</v>
      </c>
      <c r="C61" s="221">
        <f>C48+C59</f>
        <v>246967822.64943668</v>
      </c>
      <c r="D61" s="221">
        <f t="shared" ref="D61:I61" si="16">D48+D59</f>
        <v>0</v>
      </c>
      <c r="E61" s="221">
        <f t="shared" si="16"/>
        <v>0</v>
      </c>
      <c r="F61" s="221">
        <f t="shared" si="16"/>
        <v>286535.21479052107</v>
      </c>
      <c r="G61" s="221">
        <f t="shared" si="16"/>
        <v>-78547740.961469129</v>
      </c>
      <c r="H61" s="221">
        <f t="shared" si="16"/>
        <v>33894843.152120747</v>
      </c>
      <c r="I61" s="221">
        <f t="shared" si="16"/>
        <v>319073386.71630037</v>
      </c>
      <c r="J61" s="221">
        <f t="shared" ref="J61" si="17">J48+J59</f>
        <v>-27739201.472305849</v>
      </c>
    </row>
    <row r="62" spans="1:10" ht="13.5" thickTop="1" x14ac:dyDescent="0.2">
      <c r="A62" s="214">
        <v>58</v>
      </c>
      <c r="B62" s="214"/>
    </row>
    <row r="63" spans="1:10" x14ac:dyDescent="0.2">
      <c r="A63" s="214">
        <v>59</v>
      </c>
      <c r="B63" s="223" t="s">
        <v>166</v>
      </c>
      <c r="C63" s="224">
        <f t="shared" ref="C63:I63" si="18">(((C34+Restated_Op_revenue)/(C61+Restated_rate_base))-Weighted_cost_debt-Weighted_cost_pref)/Percent_common-Restated_ROE</f>
        <v>-0.12535424055896482</v>
      </c>
      <c r="D63" s="224">
        <f t="shared" si="18"/>
        <v>1.2208848548073137E-3</v>
      </c>
      <c r="E63" s="224">
        <f t="shared" si="18"/>
        <v>-5.4817926012585283E-3</v>
      </c>
      <c r="F63" s="224">
        <f t="shared" si="18"/>
        <v>5.9010673872310349E-3</v>
      </c>
      <c r="G63" s="224">
        <f t="shared" si="18"/>
        <v>-0.1219375725983779</v>
      </c>
      <c r="H63" s="224">
        <f t="shared" si="18"/>
        <v>1.038224233789331E-2</v>
      </c>
      <c r="I63" s="224">
        <f t="shared" si="18"/>
        <v>-6.4897685521879495E-2</v>
      </c>
      <c r="J63" s="224">
        <f t="shared" ref="J63" si="19">(((J34+Restated_Op_revenue)/(J61+Restated_rate_base))-Weighted_cost_debt-Weighted_cost_pref)/Percent_common-Restated_ROE</f>
        <v>2.4081917874716974E-2</v>
      </c>
    </row>
    <row r="64" spans="1:10" x14ac:dyDescent="0.2">
      <c r="A64" s="214">
        <v>60</v>
      </c>
      <c r="B64" s="206" t="s">
        <v>43</v>
      </c>
      <c r="C64" s="225">
        <f t="shared" ref="C64:I64" si="20">-(C34-(C61*Overall_ROR))/gross_up_factor</f>
        <v>74501269.260211468</v>
      </c>
      <c r="D64" s="225">
        <f t="shared" si="20"/>
        <v>-655082.34065851639</v>
      </c>
      <c r="E64" s="225">
        <f t="shared" si="20"/>
        <v>2941330.2279056939</v>
      </c>
      <c r="F64" s="225">
        <f t="shared" si="20"/>
        <v>-3184138.3416881212</v>
      </c>
      <c r="G64" s="225">
        <f t="shared" si="20"/>
        <v>63311602.713620245</v>
      </c>
      <c r="H64" s="225">
        <f t="shared" si="20"/>
        <v>-7787105.2421529293</v>
      </c>
      <c r="I64" s="225">
        <f t="shared" si="20"/>
        <v>30717132.921022125</v>
      </c>
      <c r="J64" s="225">
        <f t="shared" ref="J64" si="21">-(J34-(J61*Overall_ROR))/gross_up_factor</f>
        <v>-10842470.677836999</v>
      </c>
    </row>
    <row r="65" spans="1:10" x14ac:dyDescent="0.2">
      <c r="A65" s="214">
        <v>61</v>
      </c>
      <c r="B65" s="214"/>
    </row>
    <row r="66" spans="1:10" x14ac:dyDescent="0.2">
      <c r="A66" s="214">
        <v>62</v>
      </c>
      <c r="B66" s="214" t="s">
        <v>97</v>
      </c>
    </row>
    <row r="67" spans="1:10" x14ac:dyDescent="0.2">
      <c r="A67" s="214">
        <v>63</v>
      </c>
      <c r="B67" s="214" t="s">
        <v>98</v>
      </c>
      <c r="C67" s="226">
        <f>SUM(D67:J67)</f>
        <v>-67285655.735435769</v>
      </c>
      <c r="D67" s="226">
        <f t="shared" ref="D67:I67" si="22">D10-D23-D24-D25-D26-D31</f>
        <v>624525.65173033113</v>
      </c>
      <c r="E67" s="226">
        <f t="shared" si="22"/>
        <v>-2804130.2039837637</v>
      </c>
      <c r="F67" s="226">
        <f t="shared" si="22"/>
        <v>3068216.1066560862</v>
      </c>
      <c r="G67" s="226">
        <f t="shared" si="22"/>
        <v>-76002416.017428786</v>
      </c>
      <c r="H67" s="226">
        <f t="shared" si="22"/>
        <v>-2319053.6036546729</v>
      </c>
      <c r="I67" s="226">
        <f t="shared" si="22"/>
        <v>2597217.727492841</v>
      </c>
      <c r="J67" s="226">
        <f t="shared" ref="J67" si="23">J10-J23-J24-J25-J26-J31</f>
        <v>7549984.6037521958</v>
      </c>
    </row>
    <row r="68" spans="1:10" x14ac:dyDescent="0.2">
      <c r="A68" s="214">
        <v>64</v>
      </c>
      <c r="B68" s="214" t="s">
        <v>99</v>
      </c>
      <c r="C68" s="226">
        <v>0</v>
      </c>
      <c r="D68" s="215">
        <f>SUM('Pro Forma Adj'!C75:F75)</f>
        <v>0</v>
      </c>
      <c r="E68" s="215">
        <f>SUM('Pro Forma Adj'!G75:S75)</f>
        <v>0</v>
      </c>
      <c r="F68" s="215">
        <f>SUM('Pro Forma Adj'!T75:X75)</f>
        <v>0</v>
      </c>
      <c r="G68" s="215">
        <f>SUM('Pro Forma Adj'!Y75:AC75)</f>
        <v>0</v>
      </c>
      <c r="H68" s="215">
        <f>SUM('Pro Forma Adj'!AD75:AO75)</f>
        <v>0</v>
      </c>
      <c r="I68" s="215">
        <f>SUM('Pro Forma Adj'!AP75:BC75)</f>
        <v>0</v>
      </c>
      <c r="J68" s="215">
        <f>SUM('Pro Forma Adj'!BD75:BG75)</f>
        <v>0</v>
      </c>
    </row>
    <row r="69" spans="1:10" x14ac:dyDescent="0.2">
      <c r="A69" s="214">
        <v>65</v>
      </c>
      <c r="B69" s="214" t="s">
        <v>100</v>
      </c>
      <c r="C69" s="226">
        <f>SUM(D69:J69)</f>
        <v>0</v>
      </c>
      <c r="D69" s="215">
        <f>SUM('Pro Forma Adj'!C76:F76)</f>
        <v>0</v>
      </c>
      <c r="E69" s="215">
        <f>SUM('Pro Forma Adj'!G76:S76)</f>
        <v>0</v>
      </c>
      <c r="F69" s="226">
        <f>SUM('Pro Forma Adj'!T76:X76)</f>
        <v>0</v>
      </c>
      <c r="G69" s="226">
        <f>SUM('Pro Forma Adj'!Y76:AC76)</f>
        <v>0</v>
      </c>
      <c r="H69" s="226">
        <f>SUM('Pro Forma Adj'!AD76:AO76)</f>
        <v>0</v>
      </c>
      <c r="I69" s="215">
        <f>SUM('Pro Forma Adj'!AP76:BC76)</f>
        <v>0</v>
      </c>
      <c r="J69" s="215">
        <f>SUM('Pro Forma Adj'!BD76:BG76)</f>
        <v>0</v>
      </c>
    </row>
    <row r="70" spans="1:10" x14ac:dyDescent="0.2">
      <c r="A70" s="214">
        <v>66</v>
      </c>
      <c r="B70" s="214" t="s">
        <v>101</v>
      </c>
      <c r="C70" s="226">
        <f>SUM(D70:J70)</f>
        <v>5764347.525192719</v>
      </c>
      <c r="D70" s="215">
        <f>SUM('Pro Forma Adj'!C77:F77)</f>
        <v>0</v>
      </c>
      <c r="E70" s="215">
        <f>SUM('Pro Forma Adj'!G77:S77)</f>
        <v>0</v>
      </c>
      <c r="F70" s="226">
        <f>SUM('Pro Forma Adj'!T77:X77)</f>
        <v>0</v>
      </c>
      <c r="G70" s="226">
        <f>SUM('Pro Forma Adj'!Y77:AC77)</f>
        <v>0</v>
      </c>
      <c r="H70" s="226">
        <f>SUM('Pro Forma Adj'!AD77:AO77)</f>
        <v>5764347.525192719</v>
      </c>
      <c r="I70" s="215">
        <f>SUM('Pro Forma Adj'!AP77:BC77)</f>
        <v>0</v>
      </c>
      <c r="J70" s="215">
        <f>SUM('Pro Forma Adj'!BD77:BG77)</f>
        <v>0</v>
      </c>
    </row>
    <row r="71" spans="1:10" x14ac:dyDescent="0.2">
      <c r="A71" s="214">
        <v>67</v>
      </c>
      <c r="B71" s="219" t="s">
        <v>102</v>
      </c>
      <c r="C71" s="226">
        <f>SUM(D71:J71)</f>
        <v>84202717.107855618</v>
      </c>
      <c r="D71" s="215">
        <f>SUM('Pro Forma Adj'!C78:F78)</f>
        <v>0</v>
      </c>
      <c r="E71" s="215">
        <f>SUM('Pro Forma Adj'!G78:S78)</f>
        <v>0</v>
      </c>
      <c r="F71" s="226">
        <f>SUM('Pro Forma Adj'!T78:X78)</f>
        <v>737.58465057384717</v>
      </c>
      <c r="G71" s="226">
        <f>SUM('Pro Forma Adj'!Y78:AC78)</f>
        <v>82753649.428063631</v>
      </c>
      <c r="H71" s="226">
        <f>SUM('Pro Forma Adj'!AD78:AO78)</f>
        <v>-16168841.656383418</v>
      </c>
      <c r="I71" s="215">
        <f>SUM('Pro Forma Adj'!AP78:BC78)</f>
        <v>16395097.915095218</v>
      </c>
      <c r="J71" s="215">
        <f>SUM('Pro Forma Adj'!BD78:BG78)</f>
        <v>1222073.8364296062</v>
      </c>
    </row>
    <row r="72" spans="1:10" x14ac:dyDescent="0.2">
      <c r="A72" s="214">
        <v>68</v>
      </c>
      <c r="B72" s="219" t="s">
        <v>103</v>
      </c>
      <c r="C72" s="230">
        <f>SUM(D72:J72)</f>
        <v>53396930.176212735</v>
      </c>
      <c r="D72" s="215">
        <f>SUM('Pro Forma Adj'!C79:F79)</f>
        <v>0</v>
      </c>
      <c r="E72" s="215">
        <f>SUM('Pro Forma Adj'!G79:S79)</f>
        <v>0</v>
      </c>
      <c r="F72" s="230">
        <f>SUM('Pro Forma Adj'!T79:X79)</f>
        <v>104137.64039409981</v>
      </c>
      <c r="G72" s="230">
        <f>SUM('Pro Forma Adj'!Y79:AC79)</f>
        <v>0</v>
      </c>
      <c r="H72" s="230">
        <f>SUM('Pro Forma Adj'!AD79:AO79)</f>
        <v>18519239.893237747</v>
      </c>
      <c r="I72" s="215">
        <f>SUM('Pro Forma Adj'!AP79:BC79)</f>
        <v>35419073.653727017</v>
      </c>
      <c r="J72" s="215">
        <f>SUM('Pro Forma Adj'!BD79:BG79)</f>
        <v>-645521.01114613097</v>
      </c>
    </row>
    <row r="73" spans="1:10" x14ac:dyDescent="0.2">
      <c r="A73" s="214">
        <v>69</v>
      </c>
      <c r="B73" s="219" t="s">
        <v>104</v>
      </c>
      <c r="C73" s="217">
        <f>SUM(D73:J73)</f>
        <v>-42244216.328985609</v>
      </c>
      <c r="D73" s="228">
        <f>D67-D69-D70+D71-D72</f>
        <v>624525.65173033113</v>
      </c>
      <c r="E73" s="228">
        <f>E67-E69-E70+E71-E72</f>
        <v>-2804130.2039837637</v>
      </c>
      <c r="F73" s="217">
        <f t="shared" ref="F73:I73" si="24">F67-F69-F70+F71-F72</f>
        <v>2964816.05091256</v>
      </c>
      <c r="G73" s="217">
        <f t="shared" si="24"/>
        <v>6751233.4106348455</v>
      </c>
      <c r="H73" s="217">
        <f t="shared" si="24"/>
        <v>-42771482.678468555</v>
      </c>
      <c r="I73" s="228">
        <f t="shared" si="24"/>
        <v>-16426758.011138961</v>
      </c>
      <c r="J73" s="228">
        <f t="shared" ref="J73" si="25">J67-J69-J70+J71-J72</f>
        <v>9417579.4513279349</v>
      </c>
    </row>
    <row r="74" spans="1:10" x14ac:dyDescent="0.2">
      <c r="A74" s="214">
        <v>70</v>
      </c>
      <c r="B74" s="214"/>
      <c r="C74" s="227"/>
      <c r="D74" s="227"/>
      <c r="E74" s="227"/>
      <c r="F74" s="227"/>
      <c r="G74" s="227"/>
      <c r="H74" s="227"/>
      <c r="I74" s="227"/>
      <c r="J74" s="227"/>
    </row>
    <row r="75" spans="1:10" x14ac:dyDescent="0.2">
      <c r="A75" s="214">
        <v>71</v>
      </c>
      <c r="B75" s="214" t="s">
        <v>105</v>
      </c>
      <c r="C75" s="226">
        <f>SUM(D75:J75)</f>
        <v>0</v>
      </c>
      <c r="D75" s="226">
        <f>C162</f>
        <v>0</v>
      </c>
      <c r="E75" s="226">
        <f>C277</f>
        <v>0</v>
      </c>
      <c r="F75" s="226">
        <f>C391</f>
        <v>0</v>
      </c>
      <c r="G75" s="226">
        <f>C505</f>
        <v>0</v>
      </c>
      <c r="H75" s="226">
        <f>C620</f>
        <v>0</v>
      </c>
      <c r="I75" s="226">
        <f>C735</f>
        <v>0</v>
      </c>
      <c r="J75" s="226">
        <f>D735</f>
        <v>0</v>
      </c>
    </row>
    <row r="76" spans="1:10" x14ac:dyDescent="0.2">
      <c r="A76" s="214">
        <v>72</v>
      </c>
      <c r="B76" s="214" t="s">
        <v>106</v>
      </c>
      <c r="C76" s="226">
        <f>SUM(D76:J76)</f>
        <v>-42244216.328985609</v>
      </c>
      <c r="D76" s="226">
        <f>D73-D75</f>
        <v>624525.65173033113</v>
      </c>
      <c r="E76" s="226">
        <f t="shared" ref="E76:I76" si="26">E73-E75</f>
        <v>-2804130.2039837637</v>
      </c>
      <c r="F76" s="226">
        <f t="shared" si="26"/>
        <v>2964816.05091256</v>
      </c>
      <c r="G76" s="226">
        <f t="shared" si="26"/>
        <v>6751233.4106348455</v>
      </c>
      <c r="H76" s="226">
        <f t="shared" si="26"/>
        <v>-42771482.678468555</v>
      </c>
      <c r="I76" s="226">
        <f t="shared" si="26"/>
        <v>-16426758.011138961</v>
      </c>
      <c r="J76" s="226">
        <f t="shared" ref="J76" si="27">J73-J75</f>
        <v>9417579.4513279349</v>
      </c>
    </row>
    <row r="77" spans="1:10" x14ac:dyDescent="0.2">
      <c r="A77" s="214">
        <v>73</v>
      </c>
      <c r="B77" s="214"/>
      <c r="D77" s="231"/>
      <c r="E77" s="231"/>
      <c r="F77" s="231"/>
      <c r="G77" s="231"/>
      <c r="H77" s="231"/>
      <c r="I77" s="231"/>
      <c r="J77" s="231"/>
    </row>
    <row r="78" spans="1:10" x14ac:dyDescent="0.2">
      <c r="A78" s="214">
        <v>74</v>
      </c>
      <c r="B78" s="214" t="s">
        <v>133</v>
      </c>
      <c r="C78" s="227">
        <f>SUM(D78:J78)</f>
        <v>-8871285.4290869758</v>
      </c>
      <c r="D78" s="227">
        <f t="shared" ref="D78:J78" si="28">D76*0.21</f>
        <v>131150.38686336952</v>
      </c>
      <c r="E78" s="227">
        <f t="shared" si="28"/>
        <v>-588867.34283659037</v>
      </c>
      <c r="F78" s="227">
        <f t="shared" si="28"/>
        <v>622611.37069163762</v>
      </c>
      <c r="G78" s="227">
        <f t="shared" si="28"/>
        <v>1417759.0162333176</v>
      </c>
      <c r="H78" s="227">
        <f t="shared" si="28"/>
        <v>-8982011.3624783959</v>
      </c>
      <c r="I78" s="227">
        <f t="shared" si="28"/>
        <v>-3449619.1823391817</v>
      </c>
      <c r="J78" s="227">
        <f t="shared" si="28"/>
        <v>1977691.6847788664</v>
      </c>
    </row>
    <row r="79" spans="1:10" x14ac:dyDescent="0.2">
      <c r="A79" s="214">
        <v>75</v>
      </c>
      <c r="B79" s="214" t="s">
        <v>132</v>
      </c>
      <c r="C79" s="227">
        <f>SUM(D79:J79)</f>
        <v>-14008794.664235296</v>
      </c>
      <c r="D79" s="215">
        <f>SUM('Pro Forma Adj'!C86:F86)</f>
        <v>0</v>
      </c>
      <c r="E79" s="215">
        <f>SUM('Pro Forma Adj'!G86:S86)</f>
        <v>0</v>
      </c>
      <c r="F79" s="226">
        <f>SUM('Pro Forma Adj'!T86:X86)</f>
        <v>0</v>
      </c>
      <c r="G79" s="226">
        <f>SUM('Pro Forma Adj'!Y86:AC86)</f>
        <v>0</v>
      </c>
      <c r="H79" s="226">
        <f>SUM('Pro Forma Adj'!AD86:AO86)</f>
        <v>-14008794.664235296</v>
      </c>
      <c r="I79" s="215">
        <f>SUM('Pro Forma Adj'!AP86:BC86)</f>
        <v>0</v>
      </c>
      <c r="J79" s="215">
        <f>SUM('Pro Forma Adj'!BD86:BG86)</f>
        <v>0</v>
      </c>
    </row>
    <row r="80" spans="1:10" ht="13.5" thickBot="1" x14ac:dyDescent="0.25">
      <c r="A80" s="214">
        <v>76</v>
      </c>
      <c r="B80" s="214" t="s">
        <v>133</v>
      </c>
      <c r="C80" s="229">
        <f>SUM(D80:J80)</f>
        <v>-22880080.093322273</v>
      </c>
      <c r="D80" s="229">
        <f>D78+D79</f>
        <v>131150.38686336952</v>
      </c>
      <c r="E80" s="229">
        <f t="shared" ref="E80:I80" si="29">E78+E79</f>
        <v>-588867.34283659037</v>
      </c>
      <c r="F80" s="229">
        <f t="shared" si="29"/>
        <v>622611.37069163762</v>
      </c>
      <c r="G80" s="229">
        <f t="shared" si="29"/>
        <v>1417759.0162333176</v>
      </c>
      <c r="H80" s="229">
        <f t="shared" si="29"/>
        <v>-22990806.026713692</v>
      </c>
      <c r="I80" s="229">
        <f t="shared" si="29"/>
        <v>-3449619.1823391817</v>
      </c>
      <c r="J80" s="229">
        <f>J78+J79</f>
        <v>1977691.6847788664</v>
      </c>
    </row>
    <row r="81" ht="13.5" thickTop="1" x14ac:dyDescent="0.2"/>
  </sheetData>
  <mergeCells count="1">
    <mergeCell ref="B1:I1"/>
  </mergeCells>
  <pageMargins left="0.5" right="0.5" top="0.4" bottom="0.25" header="0.25" footer="0.3"/>
  <pageSetup scale="72" orientation="portrait" r:id="rId1"/>
  <headerFooter>
    <oddHeader>&amp;R&amp;A</oddHeader>
  </headerFooter>
  <customProperties>
    <customPr name="_pios_id" r:id="rId2"/>
  </customProperties>
  <ignoredErrors>
    <ignoredError sqref="C23 C27" formula="1"/>
    <ignoredError sqref="E28:H28 J28 J5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A090976-BF2D-4020-BBCC-D1C163A7355D}"/>
</file>

<file path=customXml/itemProps2.xml><?xml version="1.0" encoding="utf-8"?>
<ds:datastoreItem xmlns:ds="http://schemas.openxmlformats.org/officeDocument/2006/customXml" ds:itemID="{9B34148E-DDBC-4303-9983-22CEDD7FD6B9}"/>
</file>

<file path=customXml/itemProps3.xml><?xml version="1.0" encoding="utf-8"?>
<ds:datastoreItem xmlns:ds="http://schemas.openxmlformats.org/officeDocument/2006/customXml" ds:itemID="{9DC720AA-3FDF-43C6-B803-C3DE6D96E64C}"/>
</file>

<file path=customXml/itemProps4.xml><?xml version="1.0" encoding="utf-8"?>
<ds:datastoreItem xmlns:ds="http://schemas.openxmlformats.org/officeDocument/2006/customXml" ds:itemID="{8CBC8F8E-850D-4243-AF9F-B6568DFAE6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Summary</vt:lpstr>
      <vt:lpstr>Total Adj</vt:lpstr>
      <vt:lpstr>Restating Adj</vt:lpstr>
      <vt:lpstr>Pro Forma Adj</vt:lpstr>
      <vt:lpstr>Interest Calc</vt:lpstr>
      <vt:lpstr>Variables</vt:lpstr>
      <vt:lpstr>Check Sheet</vt:lpstr>
      <vt:lpstr>Exhibit No. SEM-7 pg 1</vt:lpstr>
      <vt:lpstr>Exhibit No. SEM-7 pg 2 - 3</vt:lpstr>
      <vt:lpstr>Page 1.4</vt:lpstr>
      <vt:lpstr>Page 1.5</vt:lpstr>
      <vt:lpstr>Page 1.6</vt:lpstr>
      <vt:lpstr>Cost_Debt</vt:lpstr>
      <vt:lpstr>Cost_equity</vt:lpstr>
      <vt:lpstr>Cost_pref</vt:lpstr>
      <vt:lpstr>gross_up_factor</vt:lpstr>
      <vt:lpstr>Overall_ROR</vt:lpstr>
      <vt:lpstr>Percent_common</vt:lpstr>
      <vt:lpstr>Percent_debt</vt:lpstr>
      <vt:lpstr>Percent_pref</vt:lpstr>
      <vt:lpstr>'Exhibit No. SEM-7 pg 1'!Print_Area</vt:lpstr>
      <vt:lpstr>'Exhibit No. SEM-7 pg 2 - 3'!Print_Area</vt:lpstr>
      <vt:lpstr>'Page 1.4'!Print_Area</vt:lpstr>
      <vt:lpstr>'Page 1.5'!Print_Area</vt:lpstr>
      <vt:lpstr>'Page 1.6'!Print_Area</vt:lpstr>
      <vt:lpstr>'Pro Forma Adj'!Print_Area</vt:lpstr>
      <vt:lpstr>'Restating Adj'!Print_Area</vt:lpstr>
      <vt:lpstr>'Total Adj'!Print_Area</vt:lpstr>
      <vt:lpstr>'Exhibit No. SEM-7 pg 2 - 3'!Print_Titles</vt:lpstr>
      <vt:lpstr>'Pro Forma Adj'!Print_Titles</vt:lpstr>
      <vt:lpstr>'Restating Adj'!Print_Titles</vt:lpstr>
      <vt:lpstr>'Total Adj'!Print_Titles</vt:lpstr>
      <vt:lpstr>Restated_Op_revenue</vt:lpstr>
      <vt:lpstr>Restated_rate_base</vt:lpstr>
      <vt:lpstr>Restated_ROE</vt:lpstr>
      <vt:lpstr>Unadj_Op_revenue</vt:lpstr>
      <vt:lpstr>Unadj_rate_base</vt:lpstr>
      <vt:lpstr>Unadj_ROE</vt:lpstr>
      <vt:lpstr>uncollectible_perc</vt:lpstr>
      <vt:lpstr>WA_rev_tax_perc</vt:lpstr>
      <vt:lpstr>Weighted_cost_debt</vt:lpstr>
      <vt:lpstr>Weighted_cost_equity</vt:lpstr>
      <vt:lpstr>Weighted_cost_pref</vt:lpstr>
      <vt:lpstr>WUTC_reg_fee_perc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SUNDARAM</dc:creator>
  <cp:lastModifiedBy>Shelley McCoy</cp:lastModifiedBy>
  <cp:lastPrinted>2020-03-30T20:20:28Z</cp:lastPrinted>
  <dcterms:created xsi:type="dcterms:W3CDTF">2009-02-17T19:17:29Z</dcterms:created>
  <dcterms:modified xsi:type="dcterms:W3CDTF">2020-03-30T20:23:38Z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