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Puget Sound\"/>
    </mc:Choice>
  </mc:AlternateContent>
  <xr:revisionPtr revIDLastSave="0" documentId="13_ncr:1_{BED13463-A166-4034-8B0E-E10D4D8F0EF4}" xr6:coauthVersionLast="47" xr6:coauthVersionMax="47" xr10:uidLastSave="{00000000-0000-0000-0000-000000000000}"/>
  <bookViews>
    <workbookView xWindow="-120" yWindow="-120" windowWidth="29040" windowHeight="15840" activeTab="5" xr2:uid="{413A2BF8-A7F9-40A4-8B24-415B61D197E5}"/>
  </bookViews>
  <sheets>
    <sheet name="Summary" sheetId="3" r:id="rId1"/>
    <sheet name="ROR" sheetId="1" r:id="rId2"/>
    <sheet name="Depreciation" sheetId="6" r:id="rId3"/>
    <sheet name="AMI" sheetId="8" r:id="rId4"/>
    <sheet name="AMI Amort" sheetId="14" r:id="rId5"/>
    <sheet name="Covid" sheetId="5" r:id="rId6"/>
    <sheet name="O&amp;M" sheetId="10" r:id="rId7"/>
    <sheet name="Programmatic" sheetId="11" r:id="rId8"/>
    <sheet name="Projected" sheetId="13" r:id="rId9"/>
    <sheet name="Specific" sheetId="12" r:id="rId10"/>
    <sheet name="Tacoma" sheetId="7" r:id="rId11"/>
    <sheet name="Tac Deferrals" sheetId="15" r:id="rId12"/>
  </sheets>
  <definedNames>
    <definedName name="_xlnm.Print_Area" localSheetId="3">AMI!$B$1:$J$34</definedName>
    <definedName name="_xlnm.Print_Area" localSheetId="4">'AMI Amort'!$B$1:$J$26</definedName>
    <definedName name="_xlnm.Print_Area" localSheetId="5">Covid!$A$1:$J$19</definedName>
    <definedName name="_xlnm.Print_Area" localSheetId="2">Depreciation!$A$1:$I$27</definedName>
    <definedName name="_xlnm.Print_Area" localSheetId="6">'O&amp;M'!$A$1:$I$25</definedName>
    <definedName name="_xlnm.Print_Area" localSheetId="7">Programmatic!$A$1:$J$32</definedName>
    <definedName name="_xlnm.Print_Area" localSheetId="8">Projected!$B$1:$K$34</definedName>
    <definedName name="_xlnm.Print_Area" localSheetId="1">ROR!$B$1:$H$30</definedName>
    <definedName name="_xlnm.Print_Area" localSheetId="9">Specific!$B$1:$K$34</definedName>
    <definedName name="_xlnm.Print_Area" localSheetId="0">Summary!$A$1:$H$51</definedName>
    <definedName name="_xlnm.Print_Area" localSheetId="11">'Tac Deferrals'!$B$1:$J$19</definedName>
    <definedName name="_xlnm.Print_Area" localSheetId="10">Tacoma!$A$1:$I$42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H9" i="8"/>
  <c r="F9" i="8"/>
  <c r="H14" i="12" l="1"/>
  <c r="H12" i="12"/>
  <c r="J18" i="12"/>
  <c r="H18" i="12"/>
  <c r="J14" i="12"/>
  <c r="F14" i="12"/>
  <c r="J12" i="12"/>
  <c r="F12" i="12"/>
  <c r="F16" i="12" s="1"/>
  <c r="F20" i="12" s="1"/>
  <c r="F22" i="12" s="1"/>
  <c r="J18" i="13"/>
  <c r="H18" i="13"/>
  <c r="J14" i="13"/>
  <c r="H14" i="13"/>
  <c r="F14" i="13"/>
  <c r="J12" i="13"/>
  <c r="H12" i="13"/>
  <c r="F12" i="13"/>
  <c r="H18" i="3"/>
  <c r="F18" i="3"/>
  <c r="D18" i="3"/>
  <c r="F8" i="15"/>
  <c r="H8" i="15" s="1"/>
  <c r="D17" i="3" l="1"/>
  <c r="F16" i="13"/>
  <c r="F20" i="13" s="1"/>
  <c r="H16" i="12"/>
  <c r="H20" i="12" s="1"/>
  <c r="H22" i="12" s="1"/>
  <c r="J16" i="12"/>
  <c r="J20" i="12" s="1"/>
  <c r="H16" i="13"/>
  <c r="H20" i="13" s="1"/>
  <c r="J16" i="13"/>
  <c r="J20" i="13" s="1"/>
  <c r="F11" i="15"/>
  <c r="D19" i="3" s="1"/>
  <c r="J8" i="15"/>
  <c r="J11" i="15" s="1"/>
  <c r="H19" i="3" s="1"/>
  <c r="H11" i="15"/>
  <c r="F19" i="3" s="1"/>
  <c r="D21" i="7"/>
  <c r="D7" i="7" s="1"/>
  <c r="J22" i="12" l="1"/>
  <c r="H17" i="3" s="1"/>
  <c r="F17" i="3"/>
  <c r="F22" i="13"/>
  <c r="H22" i="13" l="1"/>
  <c r="D16" i="3"/>
  <c r="J22" i="13" l="1"/>
  <c r="H16" i="3" s="1"/>
  <c r="F16" i="3"/>
  <c r="I7" i="10" l="1"/>
  <c r="G7" i="10"/>
  <c r="E7" i="10"/>
  <c r="E10" i="5"/>
  <c r="D13" i="3" s="1"/>
  <c r="G7" i="5"/>
  <c r="G10" i="5" s="1"/>
  <c r="F13" i="3" s="1"/>
  <c r="H8" i="8"/>
  <c r="F8" i="8"/>
  <c r="F10" i="8" s="1"/>
  <c r="F13" i="8" s="1"/>
  <c r="J7" i="8"/>
  <c r="H7" i="8"/>
  <c r="H10" i="8" l="1"/>
  <c r="H13" i="8" s="1"/>
  <c r="I7" i="5"/>
  <c r="I10" i="5" s="1"/>
  <c r="H13" i="3" s="1"/>
  <c r="F17" i="6"/>
  <c r="G14" i="14" l="1"/>
  <c r="E10" i="14"/>
  <c r="I14" i="14" l="1"/>
  <c r="E12" i="14"/>
  <c r="E16" i="14" s="1"/>
  <c r="D12" i="3" s="1"/>
  <c r="G8" i="14"/>
  <c r="I8" i="14"/>
  <c r="I17" i="11"/>
  <c r="G17" i="11"/>
  <c r="I13" i="11"/>
  <c r="G13" i="11"/>
  <c r="E13" i="11"/>
  <c r="I11" i="11"/>
  <c r="G11" i="11"/>
  <c r="E11" i="11"/>
  <c r="H15" i="8"/>
  <c r="I9" i="10"/>
  <c r="I11" i="10" s="1"/>
  <c r="I15" i="10" s="1"/>
  <c r="H14" i="3" s="1"/>
  <c r="G9" i="10"/>
  <c r="G11" i="10" s="1"/>
  <c r="G15" i="10" s="1"/>
  <c r="F14" i="3" s="1"/>
  <c r="E9" i="10"/>
  <c r="E15" i="11" l="1"/>
  <c r="E19" i="11" s="1"/>
  <c r="I15" i="11"/>
  <c r="I19" i="11" s="1"/>
  <c r="E11" i="10"/>
  <c r="E15" i="10" s="1"/>
  <c r="D14" i="3" s="1"/>
  <c r="G10" i="14"/>
  <c r="G12" i="14" s="1"/>
  <c r="G16" i="14" s="1"/>
  <c r="F12" i="3" s="1"/>
  <c r="I10" i="14"/>
  <c r="I12" i="14" s="1"/>
  <c r="I16" i="14" s="1"/>
  <c r="H12" i="3" s="1"/>
  <c r="G15" i="11"/>
  <c r="G19" i="11" s="1"/>
  <c r="J15" i="8"/>
  <c r="J8" i="8"/>
  <c r="J9" i="8" l="1"/>
  <c r="J10" i="8" s="1"/>
  <c r="J13" i="8" s="1"/>
  <c r="E21" i="11"/>
  <c r="F12" i="8"/>
  <c r="F14" i="8" s="1"/>
  <c r="F16" i="8" s="1"/>
  <c r="D11" i="3" s="1"/>
  <c r="H12" i="8"/>
  <c r="H14" i="8" s="1"/>
  <c r="H16" i="8" s="1"/>
  <c r="F11" i="3" s="1"/>
  <c r="G21" i="11" l="1"/>
  <c r="D15" i="3"/>
  <c r="J12" i="8"/>
  <c r="J14" i="8" s="1"/>
  <c r="J16" i="8" s="1"/>
  <c r="H11" i="3" s="1"/>
  <c r="I21" i="11" l="1"/>
  <c r="H15" i="3" s="1"/>
  <c r="F15" i="3"/>
  <c r="D13" i="6"/>
  <c r="D15" i="6" s="1"/>
  <c r="H17" i="6"/>
  <c r="H17" i="1"/>
  <c r="G17" i="1"/>
  <c r="H11" i="1"/>
  <c r="H15" i="1" s="1"/>
  <c r="G11" i="1"/>
  <c r="G15" i="1" s="1"/>
  <c r="G19" i="1" s="1"/>
  <c r="F9" i="3" s="1"/>
  <c r="F11" i="1"/>
  <c r="F15" i="1" s="1"/>
  <c r="F19" i="1" s="1"/>
  <c r="D9" i="3" s="1"/>
  <c r="F11" i="6" l="1"/>
  <c r="H11" i="6"/>
  <c r="H19" i="1"/>
  <c r="H9" i="3" s="1"/>
  <c r="D19" i="6"/>
  <c r="D10" i="3" s="1"/>
  <c r="H13" i="6" l="1"/>
  <c r="H15" i="6" s="1"/>
  <c r="H19" i="6" s="1"/>
  <c r="H10" i="3" s="1"/>
  <c r="F13" i="6"/>
  <c r="F15" i="6" s="1"/>
  <c r="F19" i="6" s="1"/>
  <c r="F10" i="3" s="1"/>
  <c r="D13" i="7"/>
  <c r="F21" i="7"/>
  <c r="F7" i="7" s="1"/>
  <c r="D11" i="7"/>
  <c r="F11" i="7" l="1"/>
  <c r="F13" i="7"/>
  <c r="H21" i="7"/>
  <c r="H7" i="7" s="1"/>
  <c r="D15" i="7"/>
  <c r="D19" i="7" s="1"/>
  <c r="D25" i="7" s="1"/>
  <c r="F15" i="7" l="1"/>
  <c r="F19" i="7" s="1"/>
  <c r="F25" i="7" s="1"/>
  <c r="F21" i="3" s="1"/>
  <c r="F25" i="3" s="1"/>
  <c r="D21" i="3"/>
  <c r="D25" i="3" s="1"/>
  <c r="D27" i="3" s="1"/>
  <c r="H13" i="7" l="1"/>
  <c r="H11" i="7"/>
  <c r="F27" i="3"/>
  <c r="F29" i="3"/>
  <c r="D30" i="3"/>
  <c r="H15" i="7" l="1"/>
  <c r="H19" i="7" s="1"/>
  <c r="H25" i="7" s="1"/>
  <c r="H21" i="3" s="1"/>
  <c r="H25" i="3" s="1"/>
  <c r="H27" i="3" s="1"/>
  <c r="H29" i="3"/>
  <c r="F30" i="3"/>
  <c r="H30" i="3" l="1"/>
</calcChain>
</file>

<file path=xl/sharedStrings.xml><?xml version="1.0" encoding="utf-8"?>
<sst xmlns="http://schemas.openxmlformats.org/spreadsheetml/2006/main" count="244" uniqueCount="144">
  <si>
    <t>AMI Deferral Amortization</t>
  </si>
  <si>
    <t>Puget Sound Energy - Gas Revenue Requirement ($)</t>
  </si>
  <si>
    <t>COVID Deferral</t>
  </si>
  <si>
    <t>Page 1</t>
  </si>
  <si>
    <t>WUTC Filing Fee (A)</t>
  </si>
  <si>
    <t>Sources:</t>
  </si>
  <si>
    <t>Required Return Adjustment</t>
  </si>
  <si>
    <t>Puget Sound Energy - Gas</t>
  </si>
  <si>
    <t>Page 2</t>
  </si>
  <si>
    <t>Operating Income (C)</t>
  </si>
  <si>
    <t>Operating Income Per Company (A)</t>
  </si>
  <si>
    <t>Recommended Adjustment (D)</t>
  </si>
  <si>
    <t>(C) Line 1 X Line 2.</t>
  </si>
  <si>
    <t>(D) Line 3 - Line 4.</t>
  </si>
  <si>
    <t>(F) Line 5 / Line 6.</t>
  </si>
  <si>
    <t>(A) Exhibit SEF-8, page 1.</t>
  </si>
  <si>
    <t>Required Return (B)</t>
  </si>
  <si>
    <t>Recommended Adjustment (A)</t>
  </si>
  <si>
    <t>Income Taxes @ 21% (B)</t>
  </si>
  <si>
    <t>Operating Income Impact (C)</t>
  </si>
  <si>
    <t>Revenue Conversion Factor (D)</t>
  </si>
  <si>
    <t>Revenue Requirement (E)</t>
  </si>
  <si>
    <t>(A) Exhibit DJG-4.  Reflects allocation of common plant based on 66.66% to electric and 33.33% to gas.</t>
  </si>
  <si>
    <t>(B) Line 1 X 21% Federal Income Tax Rate.</t>
  </si>
  <si>
    <t>(C) Line 1 - Line 2.</t>
  </si>
  <si>
    <t>(E) Line 3 / Line 4.</t>
  </si>
  <si>
    <t>Depreciation Rate Adjustment</t>
  </si>
  <si>
    <t>Page 3</t>
  </si>
  <si>
    <t>Depreciation Expense (C)</t>
  </si>
  <si>
    <t>Page 4</t>
  </si>
  <si>
    <t>Return on AMI Investment</t>
  </si>
  <si>
    <t>Return on AMI Investment (D)</t>
  </si>
  <si>
    <t>(A) Workpaper NEW-PSE-WP-6E-11G-AMI-Plant-Deferral-22GRC-01-2022.</t>
  </si>
  <si>
    <t>Plant Additions (B)</t>
  </si>
  <si>
    <t>Additions to Depreciation Reserve (C)</t>
  </si>
  <si>
    <t>Net Plant (D)</t>
  </si>
  <si>
    <t>Operating Income Impact (F)</t>
  </si>
  <si>
    <t>Interest Synchronization (G)</t>
  </si>
  <si>
    <t>Recommended Income Adjustment (H)</t>
  </si>
  <si>
    <t>Revenue Conversion Factor (I)</t>
  </si>
  <si>
    <t>Revenue Requirement (J)</t>
  </si>
  <si>
    <t>Beginning Gross Plant (A)</t>
  </si>
  <si>
    <t>(D) Line 1 + Line 2 + Line 3.</t>
  </si>
  <si>
    <t xml:space="preserve">       Then assumes annual additions using Public Counsel's proposed depreciation rate of 5.56%, per </t>
  </si>
  <si>
    <t>(F) Line 4 X Line 5.</t>
  </si>
  <si>
    <t>(H) Line 6 - Line 7.</t>
  </si>
  <si>
    <t>(J) Line 8 / Line 9.</t>
  </si>
  <si>
    <t xml:space="preserve">(C) Includes beginning balance of Accumulated Depreciation of $15,342,127 + beginning balance </t>
  </si>
  <si>
    <t xml:space="preserve">       of ADIT of $5,800386 per Workpaper NEW-PSE-WP-6E-11G-AMI-Plant-Deferral-01-2022.</t>
  </si>
  <si>
    <t>Page 5</t>
  </si>
  <si>
    <t xml:space="preserve">Revenue Requiremet w/ updated </t>
  </si>
  <si>
    <t>(A) Exhibit SEF-13, page 2.</t>
  </si>
  <si>
    <t xml:space="preserve">Revenue Requirement Per Company (A) </t>
  </si>
  <si>
    <t>Revenue Conversion Factor (B)</t>
  </si>
  <si>
    <t>(B) Line 1 X Original Revenue Conversion Factor of 0.754801 / Revised Revenue Conversion</t>
  </si>
  <si>
    <t>Page 6</t>
  </si>
  <si>
    <t>Projected Operating and Maintenance Costs</t>
  </si>
  <si>
    <t>Page 7</t>
  </si>
  <si>
    <t>(A) Reflects 50% of Incremental A&amp;G O&amp;M Per Workpaper NEW-PSE-WP-SEF-6E-11G-OM-</t>
  </si>
  <si>
    <t xml:space="preserve">      22GRC-01-2022, Incremental_G worksheet.</t>
  </si>
  <si>
    <t>(B) Exhibit JRW-3.</t>
  </si>
  <si>
    <t>(E) Exhibit JRW-3.</t>
  </si>
  <si>
    <t>Page 11</t>
  </si>
  <si>
    <t>Page 12</t>
  </si>
  <si>
    <t>AMI Deferral Amortization (E)</t>
  </si>
  <si>
    <t>COVID Deferral (F)</t>
  </si>
  <si>
    <t>Projected O&amp;M (G)</t>
  </si>
  <si>
    <t>Tacoma Plant (K)</t>
  </si>
  <si>
    <t>Tacoma Deferral (L)</t>
  </si>
  <si>
    <t>Tacoma LNG Investment</t>
  </si>
  <si>
    <t>Rate Base Per Company (A)</t>
  </si>
  <si>
    <t>Interest Sychronization (D)</t>
  </si>
  <si>
    <t>Recommended Adjustment (E)</t>
  </si>
  <si>
    <t>Revenue Conversion Factor (F)</t>
  </si>
  <si>
    <t>Adjustment (G)</t>
  </si>
  <si>
    <t xml:space="preserve">(A) 2023 reflects cost of $239.413 million, per Exhibit RJR-1CT, Table 1, less 6 months of </t>
  </si>
  <si>
    <t xml:space="preserve">      depreciation at estimated depreciation rate of 2.0%.  2024 and 2025 amounts  </t>
  </si>
  <si>
    <t xml:space="preserve">      reflect an additional year of depreciation expense in each of those years.</t>
  </si>
  <si>
    <t>(C) Line 4 X Line 5.</t>
  </si>
  <si>
    <t>(G) Line 4 X recommended weighted cost of debt of 2.56% per Exhibit JRW-3 X federal income rate of 21%.</t>
  </si>
  <si>
    <t>(E) Line 6 - Line 7.</t>
  </si>
  <si>
    <t>(G) Line 8 / Line 9.</t>
  </si>
  <si>
    <t>(H) Assumes investment of $239.413 million, per Exhibit RJT-1CT, Table 1 and 2% depreciation rate.</t>
  </si>
  <si>
    <t>(I) Workpaper NEW-PSE-WP-SEF-6E-11G-OM-22GRC-01-2022, Total IS Gas worksheet.</t>
  </si>
  <si>
    <t>Depreciation (H)</t>
  </si>
  <si>
    <t>O&amp;M (I)</t>
  </si>
  <si>
    <t>(J) Line 7 + Line 8 + Line 9.</t>
  </si>
  <si>
    <t>Tacoma LNG Deferrals</t>
  </si>
  <si>
    <t>Total Adjustments (M)</t>
  </si>
  <si>
    <t>Company Claim (N)</t>
  </si>
  <si>
    <t>Public Counsel Recommendation (O)</t>
  </si>
  <si>
    <t>Annual Change (P)</t>
  </si>
  <si>
    <t>Total Revenues (Q)</t>
  </si>
  <si>
    <t>Percentage Change (R)</t>
  </si>
  <si>
    <t>(M) Sum of Lines 1-12.</t>
  </si>
  <si>
    <t>(N) Exhibit SEF-8, page 1.</t>
  </si>
  <si>
    <t>(O) Line 13 + Line 14.</t>
  </si>
  <si>
    <t>(P) Line 15 - Prior Year Line 15.</t>
  </si>
  <si>
    <t>(Q) 2023 Amount per Exhibit SEF-8, page 1.  2024 and 2025 reflect prior MYRP increases.</t>
  </si>
  <si>
    <t>(R) Line 16 / Line 17.</t>
  </si>
  <si>
    <t>(A) Removes Adjustments 11.48 and 11.50 per Exhibit SEF-13, page 2.</t>
  </si>
  <si>
    <t>Interest Synchronization (D)</t>
  </si>
  <si>
    <t>Revenue Requirement (G)</t>
  </si>
  <si>
    <t xml:space="preserve">Programmatic Investment </t>
  </si>
  <si>
    <t>Page 8</t>
  </si>
  <si>
    <t>(E) Line 3 - Line 4.</t>
  </si>
  <si>
    <t xml:space="preserve">Projected Investment </t>
  </si>
  <si>
    <t>Page 9</t>
  </si>
  <si>
    <t>Specific Investments</t>
  </si>
  <si>
    <t>Page 10</t>
  </si>
  <si>
    <t>Cumulative Revenue Requirement (H)</t>
  </si>
  <si>
    <t>(G) Line 5 / Line 6.</t>
  </si>
  <si>
    <t>Programmatic Investment (H)</t>
  </si>
  <si>
    <t>Projected Investment (I)</t>
  </si>
  <si>
    <t>Specific  Investment (J)</t>
  </si>
  <si>
    <t>Recommended Rate of Return (B)</t>
  </si>
  <si>
    <t>Conversion Factor (E)</t>
  </si>
  <si>
    <t>Adjustment (F)</t>
  </si>
  <si>
    <t>Recommended Rate of Return (E)</t>
  </si>
  <si>
    <t xml:space="preserve">       Exhibit DJG-4, and half-year convention for plant added each year.</t>
  </si>
  <si>
    <t>(D) Line 1 X recommended weighted cost of debt of 2.56% per Exhibit JRW-3 X federal income rate of 21%.</t>
  </si>
  <si>
    <t>(H) Includes Revenue Requirement Adjustment for current year, plus all prior years of the MYRP.</t>
  </si>
  <si>
    <t>(B) Workpaper NEW-PSE-WP-6E-11G-ProvProforma-22GRC-01-2022, Calc Program Gross Plant worksheet.</t>
  </si>
  <si>
    <t>Exhibit ACC-5</t>
  </si>
  <si>
    <t>(A) Exhibit ACC-3, Puget Sound Energy response to WUTC-99, Exhibit SEF-8, page 3.</t>
  </si>
  <si>
    <t>(B) Exhibit ACC-5, page 2.</t>
  </si>
  <si>
    <t>(C) Exhibit ACC-5, page 3.</t>
  </si>
  <si>
    <t>(D) Exhibit ACC-5, page 4.</t>
  </si>
  <si>
    <t>(E) Exhibit ACC-5, page 5.</t>
  </si>
  <si>
    <t>(F) Exhibit ACC-5, page 6.</t>
  </si>
  <si>
    <t>(G) Exhibit ACC-5, page 7.</t>
  </si>
  <si>
    <t>(H) Exhibit ACC-5, page 8.</t>
  </si>
  <si>
    <t>(I) Exhibit ACC-5, page 9.</t>
  </si>
  <si>
    <t>(J) Exhibit ACC-5, page 10.</t>
  </si>
  <si>
    <t>(K) Exhibit ACC-5, page 11.</t>
  </si>
  <si>
    <t>(L) Exhibit ACC-5, page 12.</t>
  </si>
  <si>
    <t>(E) Exhibit ACC-3, Puget Sound Energy response to WUTC-99, Exhibit SEF-8, page 3.</t>
  </si>
  <si>
    <t>(D) Exhibit ACC-3, Puget Sound Energy response to WUTC-99, Exhibit SEF-8, page 3.</t>
  </si>
  <si>
    <t>(I) Exhibit ACC-3, Puget Sound Energy response to WUTC-99, Exhibit SEF-8, page 3.</t>
  </si>
  <si>
    <t>(F) Exhibit ACC-3, Puget Sound Energy response to WUTC-99, Exhibit SEF-8, page 3.</t>
  </si>
  <si>
    <t>(A) Exhibit ACC-18, Workpaper - Crane Plant Adjustments, page 1.</t>
  </si>
  <si>
    <t>(A) Exhibit ACC-18, Workpaper - Crane Plant Adjustments, page 2.</t>
  </si>
  <si>
    <t>(A) Exhibit ACC-18, Workpaper - Crane Plant Adjustments, page 3.</t>
  </si>
  <si>
    <t xml:space="preserve">      Factor of 0.753221, per Exhibit ACC-3.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</si>
</sst>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&quot;$&quot;#,##0"/>
    <numFmt numFmtId="165" formatCode="#."/>
    <numFmt numFmtId="166" formatCode="#,##0.000000_);\(#,##0.000000\)"/>
    <numFmt numFmtId="167" formatCode="0.00000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37" fontId="0" fillId="0" borderId="0" xfId="0" applyNumberFormat="1"/>
    <xf numFmtId="0" fontId="1" fillId="0" borderId="0" xfId="0" applyFont="1" applyAlignment="1">
      <alignment horizontal="center"/>
    </xf>
    <xf numFmtId="37" fontId="0" fillId="0" borderId="1" xfId="0" applyNumberFormat="1" applyBorder="1"/>
    <xf numFmtId="5" fontId="0" fillId="0" borderId="0" xfId="0" applyNumberFormat="1"/>
    <xf numFmtId="5" fontId="0" fillId="0" borderId="0" xfId="0" applyNumberFormat="1" applyBorder="1"/>
    <xf numFmtId="37" fontId="0" fillId="0" borderId="0" xfId="0" applyNumberFormat="1" applyBorder="1"/>
    <xf numFmtId="165" fontId="0" fillId="0" borderId="0" xfId="0" applyNumberFormat="1"/>
    <xf numFmtId="5" fontId="3" fillId="0" borderId="0" xfId="0" applyNumberFormat="1" applyFont="1"/>
    <xf numFmtId="10" fontId="0" fillId="0" borderId="1" xfId="0" applyNumberFormat="1" applyBorder="1"/>
    <xf numFmtId="0" fontId="0" fillId="0" borderId="1" xfId="0" applyBorder="1"/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37" fontId="2" fillId="0" borderId="0" xfId="0" applyNumberFormat="1" applyFont="1"/>
    <xf numFmtId="167" fontId="0" fillId="0" borderId="1" xfId="0" applyNumberFormat="1" applyBorder="1"/>
    <xf numFmtId="164" fontId="3" fillId="0" borderId="0" xfId="0" applyNumberFormat="1" applyFont="1"/>
    <xf numFmtId="164" fontId="0" fillId="0" borderId="0" xfId="0" applyNumberFormat="1" applyFont="1"/>
    <xf numFmtId="0" fontId="3" fillId="0" borderId="0" xfId="0" applyFont="1"/>
    <xf numFmtId="37" fontId="0" fillId="0" borderId="0" xfId="0" applyNumberFormat="1" applyFont="1"/>
    <xf numFmtId="165" fontId="0" fillId="0" borderId="0" xfId="0" applyNumberFormat="1" applyFont="1"/>
    <xf numFmtId="5" fontId="0" fillId="0" borderId="0" xfId="0" applyNumberFormat="1" applyFont="1" applyAlignment="1"/>
    <xf numFmtId="37" fontId="0" fillId="0" borderId="0" xfId="0" applyNumberFormat="1" applyFont="1" applyAlignment="1"/>
    <xf numFmtId="165" fontId="0" fillId="0" borderId="0" xfId="0" applyNumberFormat="1" applyFont="1" applyAlignment="1"/>
    <xf numFmtId="5" fontId="0" fillId="0" borderId="0" xfId="0" applyNumberFormat="1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35EE-C6AB-4DB9-8BC4-650B4E9333FA}">
  <sheetPr>
    <pageSetUpPr fitToPage="1"/>
  </sheetPr>
  <dimension ref="A1:K51"/>
  <sheetViews>
    <sheetView topLeftCell="A31" workbookViewId="0">
      <selection activeCell="B34" sqref="B34"/>
    </sheetView>
  </sheetViews>
  <sheetFormatPr defaultRowHeight="15" x14ac:dyDescent="0.25"/>
  <cols>
    <col min="2" max="2" width="22.7109375" customWidth="1"/>
    <col min="3" max="3" width="10.7109375" customWidth="1"/>
    <col min="4" max="4" width="14.5703125" bestFit="1" customWidth="1"/>
    <col min="5" max="5" width="4.7109375" customWidth="1"/>
    <col min="6" max="6" width="14.5703125" bestFit="1" customWidth="1"/>
    <col min="7" max="7" width="4.7109375" customWidth="1"/>
    <col min="8" max="8" width="14.5703125" bestFit="1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 t="s">
        <v>123</v>
      </c>
    </row>
    <row r="2" spans="1:11" x14ac:dyDescent="0.25">
      <c r="A2" s="17"/>
      <c r="B2" s="17"/>
      <c r="C2" s="17"/>
      <c r="D2" s="17"/>
      <c r="E2" s="17"/>
      <c r="F2" s="17"/>
      <c r="G2" s="17"/>
      <c r="H2" s="17" t="s">
        <v>3</v>
      </c>
    </row>
    <row r="3" spans="1:11" ht="23.25" x14ac:dyDescent="0.35">
      <c r="A3" s="30"/>
      <c r="B3" s="30" t="s">
        <v>1</v>
      </c>
      <c r="C3" s="17"/>
      <c r="D3" s="17"/>
      <c r="E3" s="17"/>
      <c r="F3" s="17"/>
      <c r="G3" s="17"/>
      <c r="H3" s="17"/>
    </row>
    <row r="4" spans="1:11" x14ac:dyDescent="0.25">
      <c r="A4" s="17"/>
      <c r="B4" s="17"/>
      <c r="C4" s="17"/>
      <c r="D4" s="17"/>
      <c r="E4" s="17"/>
      <c r="F4" s="17"/>
      <c r="G4" s="17"/>
      <c r="H4" s="17"/>
    </row>
    <row r="6" spans="1:11" x14ac:dyDescent="0.25">
      <c r="A6" s="5"/>
      <c r="B6" s="5"/>
      <c r="C6" s="5"/>
      <c r="D6" s="5">
        <v>2023</v>
      </c>
      <c r="E6" s="5"/>
      <c r="F6" s="5">
        <v>2024</v>
      </c>
      <c r="G6" s="5"/>
      <c r="H6" s="5">
        <v>2025</v>
      </c>
    </row>
    <row r="8" spans="1:11" x14ac:dyDescent="0.25">
      <c r="A8" s="10">
        <v>1</v>
      </c>
      <c r="B8" s="7" t="s">
        <v>4</v>
      </c>
      <c r="C8" s="7"/>
      <c r="D8" s="7">
        <v>1400000</v>
      </c>
      <c r="E8" s="7"/>
      <c r="F8" s="7">
        <v>1500000</v>
      </c>
      <c r="G8" s="7"/>
      <c r="H8" s="7">
        <v>1500000</v>
      </c>
      <c r="I8" s="1"/>
      <c r="J8" s="1"/>
      <c r="K8" s="1"/>
    </row>
    <row r="9" spans="1:11" x14ac:dyDescent="0.25">
      <c r="A9" s="10">
        <v>2</v>
      </c>
      <c r="B9" s="4" t="s">
        <v>16</v>
      </c>
      <c r="C9" s="4"/>
      <c r="D9" s="4">
        <f>+ROR!F19</f>
        <v>-22034063.999543287</v>
      </c>
      <c r="E9" s="4"/>
      <c r="F9" s="4">
        <f>+ROR!G19</f>
        <v>-25374946.045582891</v>
      </c>
      <c r="G9" s="4"/>
      <c r="H9" s="4">
        <f>+ROR!H19</f>
        <v>-28277454.371293407</v>
      </c>
      <c r="I9" s="1"/>
      <c r="J9" s="1"/>
      <c r="K9" s="1"/>
    </row>
    <row r="10" spans="1:11" x14ac:dyDescent="0.25">
      <c r="A10" s="10">
        <v>3</v>
      </c>
      <c r="B10" s="4" t="s">
        <v>28</v>
      </c>
      <c r="C10" s="4"/>
      <c r="D10" s="4">
        <f>+Depreciation!D19</f>
        <v>-18973318.075685624</v>
      </c>
      <c r="E10" s="4"/>
      <c r="F10" s="4">
        <f>+Depreciation!F19</f>
        <v>-18973318.075685624</v>
      </c>
      <c r="G10" s="4"/>
      <c r="H10" s="4">
        <f>+Depreciation!H19</f>
        <v>-18973318.075685624</v>
      </c>
      <c r="I10" s="1"/>
      <c r="J10" s="1"/>
      <c r="K10" s="1"/>
    </row>
    <row r="11" spans="1:11" x14ac:dyDescent="0.25">
      <c r="A11" s="10">
        <v>4</v>
      </c>
      <c r="B11" t="s">
        <v>31</v>
      </c>
      <c r="C11" s="4"/>
      <c r="D11" s="4">
        <f>AMI!F16</f>
        <v>-6460152.9719694443</v>
      </c>
      <c r="E11" s="4"/>
      <c r="F11" s="4">
        <f>AMI!H16</f>
        <v>-10905805.727611896</v>
      </c>
      <c r="G11" s="4"/>
      <c r="H11" s="4">
        <f>AMI!J16</f>
        <v>-10144274.419716481</v>
      </c>
      <c r="I11" s="1"/>
      <c r="J11" s="1"/>
      <c r="K11" s="1"/>
    </row>
    <row r="12" spans="1:11" x14ac:dyDescent="0.25">
      <c r="A12" s="10">
        <v>5</v>
      </c>
      <c r="B12" t="s">
        <v>64</v>
      </c>
      <c r="D12" s="4">
        <f>'AMI Amort'!E16</f>
        <v>-3670693.7007863563</v>
      </c>
      <c r="E12" s="4"/>
      <c r="F12" s="4">
        <f>'AMI Amort'!G16</f>
        <v>-3670693.7007863563</v>
      </c>
      <c r="G12" s="4"/>
      <c r="H12" s="4">
        <f>'AMI Amort'!I16</f>
        <v>-3670693.7007863563</v>
      </c>
      <c r="I12" s="1"/>
      <c r="J12" s="1"/>
      <c r="K12" s="1"/>
    </row>
    <row r="13" spans="1:11" x14ac:dyDescent="0.25">
      <c r="A13" s="10">
        <v>6</v>
      </c>
      <c r="B13" t="s">
        <v>65</v>
      </c>
      <c r="C13" s="4"/>
      <c r="D13" s="4">
        <f>+Covid!E10</f>
        <v>-321903.8306552791</v>
      </c>
      <c r="E13" s="4"/>
      <c r="F13" s="4">
        <f>+Covid!G10</f>
        <v>-297221.16324292606</v>
      </c>
      <c r="G13" s="4"/>
      <c r="H13" s="4">
        <f>+Covid!I10</f>
        <v>46962.304641001785</v>
      </c>
      <c r="I13" s="1"/>
      <c r="J13" s="1"/>
      <c r="K13" s="1"/>
    </row>
    <row r="14" spans="1:11" x14ac:dyDescent="0.25">
      <c r="A14" s="10">
        <v>7</v>
      </c>
      <c r="B14" s="4" t="s">
        <v>66</v>
      </c>
      <c r="C14" s="4"/>
      <c r="D14" s="4">
        <f>'O&amp;M'!E15</f>
        <v>-4772973.0849246103</v>
      </c>
      <c r="E14" s="4"/>
      <c r="F14" s="4">
        <f>'O&amp;M'!G15</f>
        <v>-4964292.0736410692</v>
      </c>
      <c r="G14" s="4"/>
      <c r="H14" s="4">
        <f>'O&amp;M'!I15</f>
        <v>-6064466.4580514878</v>
      </c>
      <c r="I14" s="1"/>
      <c r="J14" s="1"/>
      <c r="K14" s="1"/>
    </row>
    <row r="15" spans="1:11" x14ac:dyDescent="0.25">
      <c r="A15" s="10">
        <v>8</v>
      </c>
      <c r="B15" t="s">
        <v>112</v>
      </c>
      <c r="C15" s="4"/>
      <c r="D15" s="4">
        <f>Programmatic!E21</f>
        <v>0</v>
      </c>
      <c r="E15" s="4"/>
      <c r="F15" s="4">
        <f>Programmatic!G21</f>
        <v>-5230023.2101866519</v>
      </c>
      <c r="G15" s="4"/>
      <c r="H15" s="4">
        <f>Programmatic!I21</f>
        <v>-9564463.87257923</v>
      </c>
      <c r="I15" s="1"/>
      <c r="J15" s="1"/>
      <c r="K15" s="1"/>
    </row>
    <row r="16" spans="1:11" x14ac:dyDescent="0.25">
      <c r="A16" s="10">
        <v>9</v>
      </c>
      <c r="B16" t="s">
        <v>113</v>
      </c>
      <c r="C16" s="4"/>
      <c r="D16" s="9">
        <f>+Projected!F22</f>
        <v>0</v>
      </c>
      <c r="E16" s="9"/>
      <c r="F16" s="9">
        <f>+Projected!H22</f>
        <v>-1460683.6271638735</v>
      </c>
      <c r="G16" s="9"/>
      <c r="H16" s="9">
        <f>+Projected!J22</f>
        <v>-2172025.7963280366</v>
      </c>
      <c r="I16" s="1"/>
      <c r="J16" s="1"/>
      <c r="K16" s="1"/>
    </row>
    <row r="17" spans="1:11" x14ac:dyDescent="0.25">
      <c r="A17" s="10">
        <v>10</v>
      </c>
      <c r="B17" t="s">
        <v>114</v>
      </c>
      <c r="C17" s="4"/>
      <c r="D17" s="4">
        <f>+Specific!F22</f>
        <v>0</v>
      </c>
      <c r="E17" s="4"/>
      <c r="F17" s="4">
        <f>+Specific!H22</f>
        <v>-153297.11958110568</v>
      </c>
      <c r="G17" s="4"/>
      <c r="H17" s="4">
        <f>+Specific!J22</f>
        <v>-713652.4648409962</v>
      </c>
      <c r="I17" s="1"/>
      <c r="J17" s="1"/>
      <c r="K17" s="1"/>
    </row>
    <row r="18" spans="1:11" x14ac:dyDescent="0.25">
      <c r="A18" s="10">
        <v>11</v>
      </c>
      <c r="B18" s="4" t="s">
        <v>67</v>
      </c>
      <c r="C18" s="4"/>
      <c r="D18" s="4">
        <f>Tacoma!D25</f>
        <v>-27178868.959881458</v>
      </c>
      <c r="E18" s="4"/>
      <c r="F18" s="4">
        <f>Tacoma!F25</f>
        <v>-26829048.021297991</v>
      </c>
      <c r="G18" s="4"/>
      <c r="H18" s="4">
        <f>Tacoma!H25</f>
        <v>-26480292.082714532</v>
      </c>
      <c r="I18" s="1"/>
      <c r="J18" s="1"/>
      <c r="K18" s="1"/>
    </row>
    <row r="19" spans="1:11" x14ac:dyDescent="0.25">
      <c r="A19" s="10">
        <v>12</v>
      </c>
      <c r="B19" s="4" t="s">
        <v>68</v>
      </c>
      <c r="C19" s="4"/>
      <c r="D19" s="6">
        <f>+'Tac Deferrals'!F11</f>
        <v>-11695654.12644098</v>
      </c>
      <c r="E19" s="6"/>
      <c r="F19" s="6">
        <f>+'Tac Deferrals'!H11</f>
        <v>-11446746.095481936</v>
      </c>
      <c r="G19" s="6"/>
      <c r="H19" s="6">
        <f>+'Tac Deferrals'!J11</f>
        <v>-11196164.561434161</v>
      </c>
      <c r="I19" s="4"/>
      <c r="J19" s="1"/>
      <c r="K19" s="1"/>
    </row>
    <row r="20" spans="1:11" x14ac:dyDescent="0.25">
      <c r="J20" s="1"/>
      <c r="K20" s="1"/>
    </row>
    <row r="21" spans="1:11" x14ac:dyDescent="0.25">
      <c r="A21" s="10">
        <v>13</v>
      </c>
      <c r="B21" s="4" t="s">
        <v>88</v>
      </c>
      <c r="C21" s="4"/>
      <c r="D21" s="8">
        <f>SUM(D8:D19)</f>
        <v>-93707628.749887049</v>
      </c>
      <c r="E21" s="8"/>
      <c r="F21" s="8">
        <f>SUM(F8:F19)</f>
        <v>-107806074.86026232</v>
      </c>
      <c r="G21" s="8"/>
      <c r="H21" s="8">
        <f>SUM(H8:H19)</f>
        <v>-115709843.49878931</v>
      </c>
      <c r="I21" s="1"/>
      <c r="J21" s="1"/>
      <c r="K21" s="1"/>
    </row>
    <row r="22" spans="1:11" x14ac:dyDescent="0.25">
      <c r="A22" s="10"/>
      <c r="B22" s="4"/>
      <c r="C22" s="4"/>
      <c r="D22" s="4"/>
      <c r="E22" s="4"/>
      <c r="F22" s="4"/>
      <c r="G22" s="4"/>
      <c r="H22" s="4"/>
      <c r="I22" s="1"/>
      <c r="J22" s="1"/>
      <c r="K22" s="1"/>
    </row>
    <row r="23" spans="1:11" x14ac:dyDescent="0.25">
      <c r="A23" s="10">
        <v>14</v>
      </c>
      <c r="B23" s="4" t="s">
        <v>89</v>
      </c>
      <c r="C23" s="4"/>
      <c r="D23" s="6">
        <v>165483178</v>
      </c>
      <c r="E23" s="6"/>
      <c r="F23" s="6">
        <v>195373105</v>
      </c>
      <c r="G23" s="6"/>
      <c r="H23" s="6">
        <v>218700287</v>
      </c>
      <c r="I23" s="1"/>
      <c r="J23" s="1"/>
      <c r="K23" s="1"/>
    </row>
    <row r="24" spans="1:11" x14ac:dyDescent="0.25">
      <c r="A24" s="10"/>
      <c r="B24" s="4"/>
      <c r="C24" s="4"/>
      <c r="D24" s="4"/>
      <c r="E24" s="4"/>
      <c r="F24" s="4"/>
      <c r="G24" s="4"/>
      <c r="H24" s="4"/>
      <c r="I24" s="1"/>
      <c r="J24" s="1"/>
      <c r="K24" s="1"/>
    </row>
    <row r="25" spans="1:11" x14ac:dyDescent="0.25">
      <c r="A25" s="10">
        <v>15</v>
      </c>
      <c r="B25" s="4" t="s">
        <v>90</v>
      </c>
      <c r="C25" s="4"/>
      <c r="D25" s="8">
        <f>+D21+D23</f>
        <v>71775549.250112951</v>
      </c>
      <c r="E25" s="8"/>
      <c r="F25" s="8">
        <f>+F21+F23</f>
        <v>87567030.139737681</v>
      </c>
      <c r="G25" s="8"/>
      <c r="H25" s="8">
        <f>+H21+H23</f>
        <v>102990443.50121069</v>
      </c>
      <c r="I25" s="1"/>
    </row>
    <row r="26" spans="1:11" x14ac:dyDescent="0.25">
      <c r="A26" s="10"/>
      <c r="B26" s="4"/>
      <c r="C26" s="4"/>
      <c r="D26" s="7"/>
      <c r="E26" s="7"/>
      <c r="F26" s="7"/>
      <c r="G26" s="7"/>
      <c r="H26" s="7"/>
    </row>
    <row r="27" spans="1:11" ht="17.25" x14ac:dyDescent="0.4">
      <c r="A27" s="10">
        <v>16</v>
      </c>
      <c r="B27" s="4" t="s">
        <v>91</v>
      </c>
      <c r="C27" s="4"/>
      <c r="D27" s="11">
        <f>+D25</f>
        <v>71775549.250112951</v>
      </c>
      <c r="E27" s="11"/>
      <c r="F27" s="11">
        <f>+F25-D25</f>
        <v>15791480.88962473</v>
      </c>
      <c r="G27" s="11"/>
      <c r="H27" s="11">
        <f>+H25-F25</f>
        <v>15423413.361473009</v>
      </c>
    </row>
    <row r="28" spans="1:11" x14ac:dyDescent="0.25">
      <c r="A28" s="10"/>
      <c r="B28" s="4"/>
      <c r="C28" s="4"/>
      <c r="D28" s="7"/>
      <c r="E28" s="7"/>
      <c r="F28" s="7"/>
      <c r="G28" s="7"/>
      <c r="H28" s="7"/>
    </row>
    <row r="29" spans="1:11" x14ac:dyDescent="0.25">
      <c r="A29" s="10">
        <v>17</v>
      </c>
      <c r="B29" s="4" t="s">
        <v>92</v>
      </c>
      <c r="C29" s="4"/>
      <c r="D29" s="7">
        <v>1101528916</v>
      </c>
      <c r="E29" s="7"/>
      <c r="F29" s="7">
        <f>+D29+D25</f>
        <v>1173304465.250113</v>
      </c>
      <c r="G29" s="7"/>
      <c r="H29" s="7">
        <f>+F27+F29</f>
        <v>1189095946.1397378</v>
      </c>
    </row>
    <row r="30" spans="1:11" x14ac:dyDescent="0.25">
      <c r="A30" s="10">
        <v>18</v>
      </c>
      <c r="B30" t="s">
        <v>93</v>
      </c>
      <c r="D30" s="2">
        <f>+D25/D29</f>
        <v>6.5159931988669609E-2</v>
      </c>
      <c r="F30" s="2">
        <f>+F27/F29</f>
        <v>1.3458979623211836E-2</v>
      </c>
      <c r="G30" s="2"/>
      <c r="H30" s="2">
        <f>+H27/H29</f>
        <v>1.297070552762654E-2</v>
      </c>
    </row>
    <row r="31" spans="1:11" x14ac:dyDescent="0.25">
      <c r="A31" s="10"/>
    </row>
    <row r="32" spans="1:11" x14ac:dyDescent="0.25">
      <c r="A32" s="10"/>
    </row>
    <row r="33" spans="1:2" x14ac:dyDescent="0.25">
      <c r="A33" s="4"/>
      <c r="B33" t="s">
        <v>5</v>
      </c>
    </row>
    <row r="34" spans="1:2" x14ac:dyDescent="0.25">
      <c r="B34" t="s">
        <v>124</v>
      </c>
    </row>
    <row r="35" spans="1:2" x14ac:dyDescent="0.25">
      <c r="B35" t="s">
        <v>125</v>
      </c>
    </row>
    <row r="36" spans="1:2" x14ac:dyDescent="0.25">
      <c r="B36" t="s">
        <v>126</v>
      </c>
    </row>
    <row r="37" spans="1:2" x14ac:dyDescent="0.25">
      <c r="B37" t="s">
        <v>127</v>
      </c>
    </row>
    <row r="38" spans="1:2" x14ac:dyDescent="0.25">
      <c r="B38" t="s">
        <v>128</v>
      </c>
    </row>
    <row r="39" spans="1:2" x14ac:dyDescent="0.25">
      <c r="B39" t="s">
        <v>129</v>
      </c>
    </row>
    <row r="40" spans="1:2" x14ac:dyDescent="0.25">
      <c r="B40" t="s">
        <v>130</v>
      </c>
    </row>
    <row r="41" spans="1:2" x14ac:dyDescent="0.25">
      <c r="B41" t="s">
        <v>131</v>
      </c>
    </row>
    <row r="42" spans="1:2" x14ac:dyDescent="0.25">
      <c r="B42" t="s">
        <v>132</v>
      </c>
    </row>
    <row r="43" spans="1:2" x14ac:dyDescent="0.25">
      <c r="B43" t="s">
        <v>133</v>
      </c>
    </row>
    <row r="44" spans="1:2" x14ac:dyDescent="0.25">
      <c r="B44" t="s">
        <v>134</v>
      </c>
    </row>
    <row r="45" spans="1:2" x14ac:dyDescent="0.25">
      <c r="B45" t="s">
        <v>135</v>
      </c>
    </row>
    <row r="46" spans="1:2" x14ac:dyDescent="0.25">
      <c r="B46" t="s">
        <v>94</v>
      </c>
    </row>
    <row r="47" spans="1:2" x14ac:dyDescent="0.25">
      <c r="B47" t="s">
        <v>95</v>
      </c>
    </row>
    <row r="48" spans="1:2" x14ac:dyDescent="0.25">
      <c r="B48" t="s">
        <v>96</v>
      </c>
    </row>
    <row r="49" spans="2:2" x14ac:dyDescent="0.25">
      <c r="B49" t="s">
        <v>97</v>
      </c>
    </row>
    <row r="50" spans="2:2" x14ac:dyDescent="0.25">
      <c r="B50" t="s">
        <v>98</v>
      </c>
    </row>
    <row r="51" spans="2:2" x14ac:dyDescent="0.25">
      <c r="B51" t="s">
        <v>99</v>
      </c>
    </row>
  </sheetData>
  <pageMargins left="0.7" right="0.7" top="0.75" bottom="0.75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4C36-4CAD-4CAF-85D9-C8EBF95C2CA6}">
  <sheetPr>
    <pageSetUpPr fitToPage="1"/>
  </sheetPr>
  <dimension ref="B1:K33"/>
  <sheetViews>
    <sheetView workbookViewId="0">
      <selection activeCell="C31" sqref="C31"/>
    </sheetView>
  </sheetViews>
  <sheetFormatPr defaultRowHeight="15" x14ac:dyDescent="0.25"/>
  <cols>
    <col min="3" max="3" width="20.7109375" customWidth="1"/>
    <col min="6" max="6" width="12.7109375" customWidth="1"/>
    <col min="7" max="7" width="5.7109375" customWidth="1"/>
    <col min="8" max="8" width="11.5703125" bestFit="1" customWidth="1"/>
    <col min="9" max="9" width="5.7109375" customWidth="1"/>
    <col min="10" max="10" width="12.5703125" bestFit="1" customWidth="1"/>
    <col min="13" max="13" width="20.7109375" customWidth="1"/>
    <col min="17" max="17" width="5.7109375" customWidth="1"/>
    <col min="18" max="18" width="11.5703125" bestFit="1" customWidth="1"/>
    <col min="19" max="19" width="5.7109375" customWidth="1"/>
    <col min="20" max="20" width="11.5703125" bestFit="1" customWidth="1"/>
  </cols>
  <sheetData>
    <row r="1" spans="2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x14ac:dyDescent="0.25">
      <c r="B2" s="17"/>
      <c r="C2" s="17"/>
      <c r="D2" s="17"/>
      <c r="E2" s="17"/>
      <c r="F2" s="17"/>
      <c r="G2" s="17"/>
      <c r="H2" s="17"/>
      <c r="I2" s="17"/>
      <c r="J2" s="17" t="s">
        <v>123</v>
      </c>
      <c r="K2" s="17"/>
    </row>
    <row r="3" spans="2:11" x14ac:dyDescent="0.25">
      <c r="B3" s="17"/>
      <c r="C3" s="17" t="s">
        <v>7</v>
      </c>
      <c r="D3" s="17"/>
      <c r="E3" s="17"/>
      <c r="F3" s="17"/>
      <c r="G3" s="17"/>
      <c r="H3" s="17"/>
      <c r="I3" s="17"/>
      <c r="J3" s="17" t="s">
        <v>109</v>
      </c>
      <c r="K3" s="17"/>
    </row>
    <row r="4" spans="2:11" x14ac:dyDescent="0.25">
      <c r="B4" s="17"/>
      <c r="C4" s="17" t="s">
        <v>108</v>
      </c>
      <c r="D4" s="17"/>
      <c r="E4" s="17"/>
      <c r="F4" s="17"/>
      <c r="G4" s="17"/>
      <c r="H4" s="17"/>
      <c r="I4" s="17"/>
      <c r="J4" s="17"/>
      <c r="K4" s="17"/>
    </row>
    <row r="6" spans="2:11" x14ac:dyDescent="0.25">
      <c r="B6" s="5"/>
      <c r="C6" s="5"/>
      <c r="D6" s="5"/>
      <c r="E6" s="5"/>
      <c r="F6" s="5">
        <v>2023</v>
      </c>
      <c r="G6" s="5"/>
      <c r="H6" s="5">
        <v>2024</v>
      </c>
      <c r="I6" s="5"/>
      <c r="J6" s="5">
        <v>2025</v>
      </c>
    </row>
    <row r="8" spans="2:11" x14ac:dyDescent="0.25">
      <c r="B8" s="10">
        <v>1</v>
      </c>
      <c r="C8" s="7" t="s">
        <v>17</v>
      </c>
      <c r="D8" s="7"/>
      <c r="E8" s="7"/>
      <c r="F8" s="7">
        <v>0</v>
      </c>
      <c r="G8" s="7"/>
      <c r="H8" s="7">
        <v>-1835017</v>
      </c>
      <c r="I8" s="7"/>
      <c r="J8" s="7">
        <v>-6707638</v>
      </c>
    </row>
    <row r="9" spans="2:11" x14ac:dyDescent="0.25">
      <c r="B9" s="10"/>
      <c r="F9" s="1"/>
    </row>
    <row r="10" spans="2:11" x14ac:dyDescent="0.25">
      <c r="B10" s="10">
        <v>2</v>
      </c>
      <c r="C10" t="s">
        <v>115</v>
      </c>
      <c r="F10" s="12">
        <v>6.83E-2</v>
      </c>
      <c r="G10" s="13"/>
      <c r="H10" s="12">
        <v>6.83E-2</v>
      </c>
      <c r="I10" s="13"/>
      <c r="J10" s="12">
        <v>6.83E-2</v>
      </c>
    </row>
    <row r="11" spans="2:11" x14ac:dyDescent="0.25">
      <c r="B11" s="10"/>
      <c r="F11" s="1"/>
      <c r="H11" s="1"/>
      <c r="J11" s="1"/>
    </row>
    <row r="12" spans="2:11" x14ac:dyDescent="0.25">
      <c r="B12" s="10">
        <v>3</v>
      </c>
      <c r="C12" s="7" t="s">
        <v>9</v>
      </c>
      <c r="D12" s="7"/>
      <c r="E12" s="7"/>
      <c r="F12" s="7">
        <f>+F8*F10</f>
        <v>0</v>
      </c>
      <c r="G12" s="7"/>
      <c r="H12" s="7">
        <f>+H8*H10</f>
        <v>-125331.6611</v>
      </c>
      <c r="I12" s="7"/>
      <c r="J12" s="7">
        <f>+J8*J10</f>
        <v>-458131.67540000001</v>
      </c>
    </row>
    <row r="13" spans="2:11" x14ac:dyDescent="0.25">
      <c r="B13" s="10"/>
      <c r="C13" s="7"/>
      <c r="D13" s="7"/>
      <c r="E13" s="7"/>
      <c r="F13" s="7"/>
      <c r="G13" s="7"/>
      <c r="H13" s="7"/>
      <c r="I13" s="7"/>
      <c r="J13" s="7"/>
    </row>
    <row r="14" spans="2:11" x14ac:dyDescent="0.25">
      <c r="B14" s="10">
        <v>4</v>
      </c>
      <c r="C14" s="4" t="s">
        <v>101</v>
      </c>
      <c r="D14" s="4"/>
      <c r="E14" s="4"/>
      <c r="F14" s="6">
        <f>+F8*0.0256*0.21</f>
        <v>0</v>
      </c>
      <c r="G14" s="6"/>
      <c r="H14" s="6">
        <f>+H8*0.0256*0.21</f>
        <v>-9865.0513919999994</v>
      </c>
      <c r="I14" s="6"/>
      <c r="J14" s="6">
        <f>+J8*0.0256*0.21</f>
        <v>-36060.261888000001</v>
      </c>
    </row>
    <row r="15" spans="2:11" x14ac:dyDescent="0.25">
      <c r="B15" s="10"/>
      <c r="C15" s="7"/>
      <c r="D15" s="7"/>
      <c r="E15" s="7"/>
      <c r="F15" s="7"/>
      <c r="G15" s="7"/>
      <c r="H15" s="7"/>
      <c r="I15" s="7"/>
      <c r="J15" s="7"/>
    </row>
    <row r="16" spans="2:11" x14ac:dyDescent="0.25">
      <c r="B16" s="10">
        <v>5</v>
      </c>
      <c r="C16" s="7" t="s">
        <v>72</v>
      </c>
      <c r="D16" s="7"/>
      <c r="E16" s="7"/>
      <c r="F16" s="7">
        <f>+F12-F14</f>
        <v>0</v>
      </c>
      <c r="G16" s="7"/>
      <c r="H16" s="7">
        <f>+H12-H14</f>
        <v>-115466.609708</v>
      </c>
      <c r="I16" s="7"/>
      <c r="J16" s="7">
        <f>+J12-J14</f>
        <v>-422071.413512</v>
      </c>
    </row>
    <row r="17" spans="2:10" x14ac:dyDescent="0.25">
      <c r="B17" s="10"/>
    </row>
    <row r="18" spans="2:10" x14ac:dyDescent="0.25">
      <c r="B18" s="10">
        <v>6</v>
      </c>
      <c r="C18" t="s">
        <v>73</v>
      </c>
      <c r="F18" s="13">
        <v>0.75322100000000003</v>
      </c>
      <c r="G18" s="13"/>
      <c r="H18" s="13">
        <f>+F18</f>
        <v>0.75322100000000003</v>
      </c>
      <c r="I18" s="13"/>
      <c r="J18" s="13">
        <f>+F18</f>
        <v>0.75322100000000003</v>
      </c>
    </row>
    <row r="19" spans="2:10" x14ac:dyDescent="0.25">
      <c r="B19" s="10"/>
    </row>
    <row r="20" spans="2:10" x14ac:dyDescent="0.25">
      <c r="B20" s="27">
        <v>7</v>
      </c>
      <c r="C20" s="26" t="s">
        <v>102</v>
      </c>
      <c r="D20" s="26"/>
      <c r="E20" s="26"/>
      <c r="F20" s="25">
        <f>+F16/F18</f>
        <v>0</v>
      </c>
      <c r="G20" s="25"/>
      <c r="H20" s="25">
        <f>+H16/H18</f>
        <v>-153297.11958110568</v>
      </c>
      <c r="I20" s="25"/>
      <c r="J20" s="25">
        <f>+J16/J18</f>
        <v>-560355.34525989054</v>
      </c>
    </row>
    <row r="22" spans="2:10" ht="17.25" x14ac:dyDescent="0.4">
      <c r="B22" s="10">
        <v>8</v>
      </c>
      <c r="C22" t="s">
        <v>110</v>
      </c>
      <c r="F22" s="11">
        <f>+F20</f>
        <v>0</v>
      </c>
      <c r="G22" s="22"/>
      <c r="H22" s="11">
        <f>+H20+F22</f>
        <v>-153297.11958110568</v>
      </c>
      <c r="I22" s="22"/>
      <c r="J22" s="11">
        <f>+J20+H22</f>
        <v>-713652.4648409962</v>
      </c>
    </row>
    <row r="23" spans="2:10" x14ac:dyDescent="0.25">
      <c r="B23" s="10"/>
    </row>
    <row r="24" spans="2:10" x14ac:dyDescent="0.25">
      <c r="B24" s="10"/>
    </row>
    <row r="25" spans="2:10" x14ac:dyDescent="0.25">
      <c r="C25" t="s">
        <v>5</v>
      </c>
    </row>
    <row r="26" spans="2:10" x14ac:dyDescent="0.25">
      <c r="C26" t="s">
        <v>142</v>
      </c>
    </row>
    <row r="27" spans="2:10" x14ac:dyDescent="0.25">
      <c r="C27" t="s">
        <v>60</v>
      </c>
    </row>
    <row r="28" spans="2:10" x14ac:dyDescent="0.25">
      <c r="C28" t="s">
        <v>78</v>
      </c>
    </row>
    <row r="29" spans="2:10" x14ac:dyDescent="0.25">
      <c r="C29" t="s">
        <v>120</v>
      </c>
    </row>
    <row r="30" spans="2:10" x14ac:dyDescent="0.25">
      <c r="C30" t="s">
        <v>105</v>
      </c>
    </row>
    <row r="31" spans="2:10" x14ac:dyDescent="0.25">
      <c r="C31" t="s">
        <v>139</v>
      </c>
    </row>
    <row r="32" spans="2:10" x14ac:dyDescent="0.25">
      <c r="C32" t="s">
        <v>111</v>
      </c>
    </row>
    <row r="33" spans="3:3" x14ac:dyDescent="0.25">
      <c r="C33" t="s">
        <v>121</v>
      </c>
    </row>
  </sheetData>
  <pageMargins left="0.7" right="0.7" top="0.75" bottom="0.75" header="0.3" footer="0.3"/>
  <pageSetup scale="8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CEF4-BEAF-4A36-BA86-D4A8A2435B1B}">
  <sheetPr>
    <pageSetUpPr fitToPage="1"/>
  </sheetPr>
  <dimension ref="A1:I41"/>
  <sheetViews>
    <sheetView topLeftCell="A16" workbookViewId="0">
      <selection activeCell="B37" sqref="B37"/>
    </sheetView>
  </sheetViews>
  <sheetFormatPr defaultRowHeight="15" x14ac:dyDescent="0.25"/>
  <cols>
    <col min="2" max="2" width="22.7109375" customWidth="1"/>
    <col min="4" max="4" width="13.7109375" bestFit="1" customWidth="1"/>
    <col min="6" max="6" width="13.7109375" bestFit="1" customWidth="1"/>
    <col min="8" max="8" width="13.7109375" bestFit="1" customWidth="1"/>
  </cols>
  <sheetData>
    <row r="1" spans="1:9" x14ac:dyDescent="0.25">
      <c r="A1" s="17"/>
      <c r="B1" s="17"/>
      <c r="C1" s="17"/>
      <c r="D1" s="17"/>
      <c r="E1" s="17"/>
      <c r="F1" s="17"/>
      <c r="G1" s="17" t="s">
        <v>123</v>
      </c>
      <c r="H1" s="17"/>
    </row>
    <row r="2" spans="1:9" x14ac:dyDescent="0.25">
      <c r="A2" s="17"/>
      <c r="B2" s="17" t="s">
        <v>7</v>
      </c>
      <c r="C2" s="17"/>
      <c r="D2" s="17"/>
      <c r="E2" s="17"/>
      <c r="F2" s="17"/>
      <c r="G2" s="17" t="s">
        <v>62</v>
      </c>
      <c r="H2" s="17"/>
    </row>
    <row r="3" spans="1:9" x14ac:dyDescent="0.25">
      <c r="A3" s="17"/>
      <c r="B3" s="17" t="s">
        <v>69</v>
      </c>
      <c r="C3" s="17"/>
      <c r="D3" s="17"/>
      <c r="E3" s="17"/>
      <c r="F3" s="17"/>
      <c r="G3" s="17"/>
      <c r="H3" s="17"/>
    </row>
    <row r="5" spans="1:9" x14ac:dyDescent="0.25">
      <c r="D5" s="5">
        <v>2023</v>
      </c>
      <c r="E5" s="5"/>
      <c r="F5" s="5">
        <v>2024</v>
      </c>
      <c r="G5" s="5"/>
      <c r="H5" s="5">
        <v>2025</v>
      </c>
    </row>
    <row r="7" spans="1:9" x14ac:dyDescent="0.25">
      <c r="A7" s="10">
        <v>1</v>
      </c>
      <c r="B7" t="s">
        <v>70</v>
      </c>
      <c r="D7" s="7">
        <f>-239413000-(0.5*D21)</f>
        <v>-237018870</v>
      </c>
      <c r="E7" s="7"/>
      <c r="F7" s="7">
        <f>+D7-F21</f>
        <v>-232230610</v>
      </c>
      <c r="G7" s="7"/>
      <c r="H7" s="7">
        <f>+F7-H21</f>
        <v>-227442350</v>
      </c>
    </row>
    <row r="8" spans="1:9" x14ac:dyDescent="0.25">
      <c r="A8" s="10"/>
      <c r="D8" s="1"/>
    </row>
    <row r="9" spans="1:9" x14ac:dyDescent="0.25">
      <c r="A9" s="10">
        <v>2</v>
      </c>
      <c r="B9" t="s">
        <v>115</v>
      </c>
      <c r="D9" s="12">
        <v>6.83E-2</v>
      </c>
      <c r="E9" s="13"/>
      <c r="F9" s="12">
        <v>6.83E-2</v>
      </c>
      <c r="G9" s="13"/>
      <c r="H9" s="12">
        <v>6.83E-2</v>
      </c>
    </row>
    <row r="10" spans="1:9" x14ac:dyDescent="0.25">
      <c r="A10" s="10"/>
      <c r="D10" s="1"/>
      <c r="F10" s="1"/>
      <c r="H10" s="1"/>
    </row>
    <row r="11" spans="1:9" x14ac:dyDescent="0.25">
      <c r="A11" s="10">
        <v>3</v>
      </c>
      <c r="B11" t="s">
        <v>19</v>
      </c>
      <c r="D11" s="7">
        <f>+D7*D9</f>
        <v>-16188388.821</v>
      </c>
      <c r="E11" s="7"/>
      <c r="F11" s="7">
        <f>+F7*F9</f>
        <v>-15861350.663000001</v>
      </c>
      <c r="G11" s="7"/>
      <c r="H11" s="7">
        <f>+H7*H9</f>
        <v>-15534312.505000001</v>
      </c>
      <c r="I11" s="4"/>
    </row>
    <row r="12" spans="1:9" x14ac:dyDescent="0.25">
      <c r="A12" s="10"/>
      <c r="D12" s="4"/>
      <c r="E12" s="4"/>
      <c r="F12" s="4"/>
      <c r="G12" s="4"/>
      <c r="H12" s="4"/>
      <c r="I12" s="4"/>
    </row>
    <row r="13" spans="1:9" x14ac:dyDescent="0.25">
      <c r="A13" s="10">
        <v>4</v>
      </c>
      <c r="B13" t="s">
        <v>71</v>
      </c>
      <c r="D13" s="6">
        <f>+D7*0.0256*0.21</f>
        <v>-1274213.44512</v>
      </c>
      <c r="E13" s="6"/>
      <c r="F13" s="6">
        <f>+F7*0.0256*0.21</f>
        <v>-1248471.75936</v>
      </c>
      <c r="G13" s="6"/>
      <c r="H13" s="6">
        <f>+H7*0.0256*0.21</f>
        <v>-1222730.0736</v>
      </c>
      <c r="I13" s="4"/>
    </row>
    <row r="14" spans="1:9" x14ac:dyDescent="0.25">
      <c r="A14" s="10"/>
      <c r="D14" s="4"/>
      <c r="E14" s="4"/>
      <c r="F14" s="4"/>
      <c r="G14" s="4"/>
      <c r="H14" s="4"/>
      <c r="I14" s="4"/>
    </row>
    <row r="15" spans="1:9" x14ac:dyDescent="0.25">
      <c r="A15" s="10">
        <v>5</v>
      </c>
      <c r="B15" t="s">
        <v>72</v>
      </c>
      <c r="D15" s="7">
        <f>+D11-D13</f>
        <v>-14914175.375880001</v>
      </c>
      <c r="E15" s="7"/>
      <c r="F15" s="7">
        <f>+F11-F13</f>
        <v>-14612878.90364</v>
      </c>
      <c r="G15" s="7"/>
      <c r="H15" s="7">
        <f>+H11-H13</f>
        <v>-14311582.431400001</v>
      </c>
      <c r="I15" s="4"/>
    </row>
    <row r="16" spans="1:9" x14ac:dyDescent="0.25">
      <c r="A16" s="10"/>
      <c r="D16" s="4"/>
      <c r="E16" s="4"/>
      <c r="F16" s="4"/>
      <c r="G16" s="4"/>
      <c r="H16" s="4"/>
      <c r="I16" s="4"/>
    </row>
    <row r="17" spans="1:8" x14ac:dyDescent="0.25">
      <c r="A17" s="10">
        <v>6</v>
      </c>
      <c r="B17" t="s">
        <v>73</v>
      </c>
      <c r="D17" s="13">
        <v>0.75077499999999997</v>
      </c>
      <c r="E17" s="13"/>
      <c r="F17" s="13">
        <v>0.75077499999999997</v>
      </c>
      <c r="G17" s="13"/>
      <c r="H17" s="13">
        <v>0.75077499999999997</v>
      </c>
    </row>
    <row r="18" spans="1:8" x14ac:dyDescent="0.25">
      <c r="A18" s="10"/>
    </row>
    <row r="19" spans="1:8" x14ac:dyDescent="0.25">
      <c r="A19" s="10">
        <v>7</v>
      </c>
      <c r="B19" t="s">
        <v>74</v>
      </c>
      <c r="D19" s="7">
        <f>+D15/D17</f>
        <v>-19865039.959881458</v>
      </c>
      <c r="E19" s="7"/>
      <c r="F19" s="7">
        <f>+F15/F17</f>
        <v>-19463726.021297991</v>
      </c>
      <c r="G19" s="7"/>
      <c r="H19" s="7">
        <f>+H15/H17</f>
        <v>-19062412.082714532</v>
      </c>
    </row>
    <row r="20" spans="1:8" x14ac:dyDescent="0.25">
      <c r="A20" s="10"/>
    </row>
    <row r="21" spans="1:8" x14ac:dyDescent="0.25">
      <c r="A21" s="10">
        <v>8</v>
      </c>
      <c r="B21" t="s">
        <v>84</v>
      </c>
      <c r="D21" s="4">
        <f>239413000*-0.02</f>
        <v>-4788260</v>
      </c>
      <c r="E21" s="4"/>
      <c r="F21" s="4">
        <f>+D21</f>
        <v>-4788260</v>
      </c>
      <c r="G21" s="4"/>
      <c r="H21" s="4">
        <f>+F21</f>
        <v>-4788260</v>
      </c>
    </row>
    <row r="22" spans="1:8" x14ac:dyDescent="0.25">
      <c r="A22" s="10"/>
      <c r="D22" s="4"/>
      <c r="E22" s="4"/>
      <c r="F22" s="4"/>
      <c r="G22" s="4"/>
      <c r="H22" s="4"/>
    </row>
    <row r="23" spans="1:8" x14ac:dyDescent="0.25">
      <c r="A23" s="10">
        <v>9</v>
      </c>
      <c r="B23" t="s">
        <v>85</v>
      </c>
      <c r="D23" s="6">
        <v>-2525569</v>
      </c>
      <c r="E23" s="6"/>
      <c r="F23" s="6">
        <v>-2577062</v>
      </c>
      <c r="G23" s="6"/>
      <c r="H23" s="6">
        <v>-2629620</v>
      </c>
    </row>
    <row r="24" spans="1:8" x14ac:dyDescent="0.25">
      <c r="A24" s="10"/>
    </row>
    <row r="25" spans="1:8" ht="17.25" x14ac:dyDescent="0.4">
      <c r="A25" s="10">
        <v>10</v>
      </c>
      <c r="B25" t="s">
        <v>40</v>
      </c>
      <c r="D25" s="11">
        <f>+D19+D21+D23</f>
        <v>-27178868.959881458</v>
      </c>
      <c r="E25" s="11"/>
      <c r="F25" s="11">
        <f>+F19+F21+F23</f>
        <v>-26829048.021297991</v>
      </c>
      <c r="G25" s="11"/>
      <c r="H25" s="11">
        <f>+H19+H21+H23</f>
        <v>-26480292.082714532</v>
      </c>
    </row>
    <row r="26" spans="1:8" x14ac:dyDescent="0.25">
      <c r="A26" s="10"/>
    </row>
    <row r="29" spans="1:8" x14ac:dyDescent="0.25">
      <c r="B29" t="s">
        <v>5</v>
      </c>
    </row>
    <row r="30" spans="1:8" x14ac:dyDescent="0.25">
      <c r="B30" t="s">
        <v>75</v>
      </c>
    </row>
    <row r="31" spans="1:8" x14ac:dyDescent="0.25">
      <c r="B31" t="s">
        <v>76</v>
      </c>
    </row>
    <row r="32" spans="1:8" x14ac:dyDescent="0.25">
      <c r="B32" t="s">
        <v>77</v>
      </c>
    </row>
    <row r="33" spans="2:2" x14ac:dyDescent="0.25">
      <c r="B33" t="s">
        <v>60</v>
      </c>
    </row>
    <row r="34" spans="2:2" x14ac:dyDescent="0.25">
      <c r="B34" t="s">
        <v>12</v>
      </c>
    </row>
    <row r="35" spans="2:2" x14ac:dyDescent="0.25">
      <c r="B35" t="s">
        <v>120</v>
      </c>
    </row>
    <row r="36" spans="2:2" x14ac:dyDescent="0.25">
      <c r="B36" t="s">
        <v>80</v>
      </c>
    </row>
    <row r="37" spans="2:2" x14ac:dyDescent="0.25">
      <c r="B37" t="s">
        <v>139</v>
      </c>
    </row>
    <row r="38" spans="2:2" x14ac:dyDescent="0.25">
      <c r="B38" t="s">
        <v>81</v>
      </c>
    </row>
    <row r="39" spans="2:2" x14ac:dyDescent="0.25">
      <c r="B39" t="s">
        <v>82</v>
      </c>
    </row>
    <row r="40" spans="2:2" x14ac:dyDescent="0.25">
      <c r="B40" t="s">
        <v>83</v>
      </c>
    </row>
    <row r="41" spans="2:2" x14ac:dyDescent="0.25">
      <c r="B41" t="s">
        <v>86</v>
      </c>
    </row>
  </sheetData>
  <pageMargins left="0.7" right="0.7" top="0.75" bottom="0.75" header="0.3" footer="0.3"/>
  <pageSetup scale="8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5933-32FF-4586-8258-52F7C88A993F}">
  <sheetPr>
    <pageSetUpPr fitToPage="1"/>
  </sheetPr>
  <dimension ref="B1:T18"/>
  <sheetViews>
    <sheetView workbookViewId="0">
      <selection activeCell="C24" sqref="C24"/>
    </sheetView>
  </sheetViews>
  <sheetFormatPr defaultRowHeight="15" x14ac:dyDescent="0.25"/>
  <cols>
    <col min="3" max="3" width="20.7109375" customWidth="1"/>
    <col min="6" max="6" width="12.5703125" bestFit="1" customWidth="1"/>
    <col min="7" max="7" width="5.7109375" customWidth="1"/>
    <col min="8" max="8" width="12.5703125" bestFit="1" customWidth="1"/>
    <col min="9" max="9" width="5.7109375" customWidth="1"/>
    <col min="10" max="10" width="12.5703125" bestFit="1" customWidth="1"/>
  </cols>
  <sheetData>
    <row r="1" spans="2:20" x14ac:dyDescent="0.25">
      <c r="C1" s="17"/>
      <c r="D1" s="17"/>
      <c r="E1" s="17"/>
      <c r="F1" s="17"/>
      <c r="G1" s="17"/>
      <c r="H1" s="17"/>
      <c r="I1" s="17"/>
      <c r="J1" s="17" t="s">
        <v>123</v>
      </c>
    </row>
    <row r="2" spans="2:20" x14ac:dyDescent="0.25">
      <c r="C2" s="17" t="s">
        <v>7</v>
      </c>
      <c r="D2" s="17"/>
      <c r="E2" s="17"/>
      <c r="F2" s="17"/>
      <c r="G2" s="17"/>
      <c r="H2" s="17"/>
      <c r="I2" s="17"/>
      <c r="J2" s="17" t="s">
        <v>63</v>
      </c>
    </row>
    <row r="3" spans="2:20" x14ac:dyDescent="0.25">
      <c r="C3" s="17" t="s">
        <v>87</v>
      </c>
      <c r="D3" s="17"/>
      <c r="E3" s="17"/>
      <c r="F3" s="17"/>
      <c r="G3" s="17"/>
      <c r="H3" s="17"/>
      <c r="I3" s="17"/>
      <c r="J3" s="17"/>
    </row>
    <row r="4" spans="2:20" x14ac:dyDescent="0.25">
      <c r="C4" s="17"/>
      <c r="D4" s="17"/>
      <c r="E4" s="17"/>
      <c r="F4" s="17"/>
      <c r="G4" s="17"/>
      <c r="H4" s="17"/>
      <c r="I4" s="17"/>
      <c r="J4" s="17"/>
    </row>
    <row r="6" spans="2:20" x14ac:dyDescent="0.25">
      <c r="F6" s="5">
        <v>2023</v>
      </c>
      <c r="G6" s="5"/>
      <c r="H6" s="5">
        <v>2024</v>
      </c>
      <c r="I6" s="5"/>
      <c r="J6" s="5">
        <v>2025</v>
      </c>
    </row>
    <row r="8" spans="2:20" x14ac:dyDescent="0.25">
      <c r="B8" s="10">
        <v>1</v>
      </c>
      <c r="C8" t="s">
        <v>52</v>
      </c>
      <c r="F8" s="7">
        <f>-2862934-8808238</f>
        <v>-11671172</v>
      </c>
      <c r="G8" s="7"/>
      <c r="H8" s="7">
        <f>+F8+41782+206605</f>
        <v>-11422785</v>
      </c>
      <c r="I8" s="7"/>
      <c r="J8" s="7">
        <f>+H8+42063+207994</f>
        <v>-11172728</v>
      </c>
      <c r="P8" s="3"/>
      <c r="R8" s="3"/>
      <c r="T8" s="3"/>
    </row>
    <row r="9" spans="2:20" x14ac:dyDescent="0.25">
      <c r="B9" s="10"/>
      <c r="F9" s="7"/>
      <c r="G9" s="7"/>
      <c r="H9" s="7"/>
      <c r="I9" s="7"/>
      <c r="J9" s="7"/>
    </row>
    <row r="10" spans="2:20" x14ac:dyDescent="0.25">
      <c r="B10" s="10">
        <v>2</v>
      </c>
      <c r="C10" t="s">
        <v>50</v>
      </c>
      <c r="F10" s="7"/>
      <c r="G10" s="7"/>
      <c r="H10" s="7"/>
      <c r="I10" s="7"/>
      <c r="J10" s="7"/>
    </row>
    <row r="11" spans="2:20" ht="17.25" x14ac:dyDescent="0.4">
      <c r="B11" s="10"/>
      <c r="C11" t="s">
        <v>53</v>
      </c>
      <c r="F11" s="11">
        <f>+F8*0.754801/0.753221</f>
        <v>-11695654.12644098</v>
      </c>
      <c r="G11" s="11"/>
      <c r="H11" s="11">
        <f t="shared" ref="H11:J11" si="0">+H8*0.754801/0.753221</f>
        <v>-11446746.095481936</v>
      </c>
      <c r="I11" s="11"/>
      <c r="J11" s="11">
        <f t="shared" si="0"/>
        <v>-11196164.561434161</v>
      </c>
    </row>
    <row r="12" spans="2:20" x14ac:dyDescent="0.25">
      <c r="F12" s="7"/>
      <c r="G12" s="7"/>
      <c r="H12" s="7"/>
      <c r="I12" s="7"/>
      <c r="J12" s="7"/>
    </row>
    <row r="13" spans="2:20" x14ac:dyDescent="0.25">
      <c r="F13" s="1"/>
      <c r="G13" s="1"/>
      <c r="H13" s="1"/>
      <c r="I13" s="1"/>
      <c r="J13" s="1"/>
    </row>
    <row r="15" spans="2:20" x14ac:dyDescent="0.25">
      <c r="C15" t="s">
        <v>5</v>
      </c>
    </row>
    <row r="16" spans="2:20" x14ac:dyDescent="0.25">
      <c r="C16" t="s">
        <v>100</v>
      </c>
    </row>
    <row r="17" spans="3:3" x14ac:dyDescent="0.25">
      <c r="C17" t="s">
        <v>54</v>
      </c>
    </row>
    <row r="18" spans="3:3" x14ac:dyDescent="0.25">
      <c r="C18" t="s">
        <v>143</v>
      </c>
    </row>
  </sheetData>
  <pageMargins left="0.7" right="0.7" top="0.75" bottom="0.75" header="0.3" footer="0.3"/>
  <pageSetup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AB43-EC9F-46AB-87B3-578D36E4A519}">
  <sheetPr>
    <pageSetUpPr fitToPage="1"/>
  </sheetPr>
  <dimension ref="A1:I28"/>
  <sheetViews>
    <sheetView workbookViewId="0">
      <selection activeCell="C27" sqref="C27"/>
    </sheetView>
  </sheetViews>
  <sheetFormatPr defaultRowHeight="15" x14ac:dyDescent="0.25"/>
  <cols>
    <col min="3" max="3" width="20.7109375" customWidth="1"/>
    <col min="6" max="8" width="14.5703125" bestFit="1" customWidth="1"/>
  </cols>
  <sheetData>
    <row r="1" spans="1:9" x14ac:dyDescent="0.25">
      <c r="A1" s="17"/>
      <c r="B1" s="17"/>
      <c r="C1" s="17"/>
      <c r="D1" s="17"/>
      <c r="E1" s="17"/>
      <c r="F1" s="17"/>
      <c r="G1" s="17"/>
      <c r="H1" s="17" t="s">
        <v>123</v>
      </c>
    </row>
    <row r="2" spans="1:9" x14ac:dyDescent="0.25">
      <c r="A2" s="17"/>
      <c r="B2" s="17"/>
      <c r="C2" s="17" t="s">
        <v>7</v>
      </c>
      <c r="D2" s="17"/>
      <c r="E2" s="17"/>
      <c r="F2" s="17"/>
      <c r="G2" s="17"/>
      <c r="H2" s="17" t="s">
        <v>8</v>
      </c>
    </row>
    <row r="3" spans="1:9" x14ac:dyDescent="0.25">
      <c r="A3" s="17"/>
      <c r="B3" s="17"/>
      <c r="C3" s="17" t="s">
        <v>6</v>
      </c>
      <c r="D3" s="17"/>
      <c r="E3" s="17"/>
      <c r="F3" s="17"/>
      <c r="G3" s="17"/>
      <c r="H3" s="17"/>
    </row>
    <row r="5" spans="1:9" x14ac:dyDescent="0.25">
      <c r="F5" s="5">
        <v>2023</v>
      </c>
      <c r="G5" s="5">
        <v>2024</v>
      </c>
      <c r="H5" s="5">
        <v>2025</v>
      </c>
    </row>
    <row r="7" spans="1:9" x14ac:dyDescent="0.25">
      <c r="B7" s="10">
        <v>1</v>
      </c>
      <c r="C7" t="s">
        <v>70</v>
      </c>
      <c r="F7" s="7">
        <v>2963664294</v>
      </c>
      <c r="G7" s="7">
        <v>3133269162</v>
      </c>
      <c r="H7" s="7">
        <v>3227147270</v>
      </c>
      <c r="I7" s="7"/>
    </row>
    <row r="8" spans="1:9" x14ac:dyDescent="0.25">
      <c r="B8" s="10"/>
      <c r="F8" s="7"/>
      <c r="G8" s="7"/>
      <c r="H8" s="7"/>
      <c r="I8" s="7"/>
    </row>
    <row r="9" spans="1:9" x14ac:dyDescent="0.25">
      <c r="B9" s="10">
        <v>2</v>
      </c>
      <c r="C9" t="s">
        <v>115</v>
      </c>
      <c r="F9" s="12">
        <v>6.83E-2</v>
      </c>
      <c r="G9" s="12">
        <v>6.83E-2</v>
      </c>
      <c r="H9" s="12">
        <v>6.83E-2</v>
      </c>
      <c r="I9" s="7"/>
    </row>
    <row r="10" spans="1:9" x14ac:dyDescent="0.25">
      <c r="B10" s="10"/>
      <c r="F10" s="7"/>
      <c r="G10" s="7"/>
      <c r="H10" s="7"/>
      <c r="I10" s="7"/>
    </row>
    <row r="11" spans="1:9" x14ac:dyDescent="0.25">
      <c r="B11" s="10">
        <v>3</v>
      </c>
      <c r="C11" t="s">
        <v>9</v>
      </c>
      <c r="F11" s="7">
        <f>+F7*F9</f>
        <v>202418271.2802</v>
      </c>
      <c r="G11" s="7">
        <f t="shared" ref="G11:H11" si="0">+G7*G9</f>
        <v>214002283.76460001</v>
      </c>
      <c r="H11" s="7">
        <f t="shared" si="0"/>
        <v>220414158.54100001</v>
      </c>
      <c r="I11" s="7"/>
    </row>
    <row r="12" spans="1:9" x14ac:dyDescent="0.25">
      <c r="B12" s="10"/>
      <c r="F12" s="7"/>
      <c r="G12" s="7"/>
      <c r="H12" s="7"/>
      <c r="I12" s="7"/>
    </row>
    <row r="13" spans="1:9" x14ac:dyDescent="0.25">
      <c r="B13" s="10">
        <v>4</v>
      </c>
      <c r="C13" t="s">
        <v>10</v>
      </c>
      <c r="F13" s="6">
        <v>219014791</v>
      </c>
      <c r="G13" s="6">
        <v>233115226</v>
      </c>
      <c r="H13" s="6">
        <v>241713331</v>
      </c>
      <c r="I13" s="7"/>
    </row>
    <row r="14" spans="1:9" x14ac:dyDescent="0.25">
      <c r="B14" s="10"/>
      <c r="F14" s="7"/>
      <c r="G14" s="7"/>
      <c r="H14" s="7"/>
      <c r="I14" s="7"/>
    </row>
    <row r="15" spans="1:9" x14ac:dyDescent="0.25">
      <c r="B15" s="10">
        <v>5</v>
      </c>
      <c r="C15" t="s">
        <v>11</v>
      </c>
      <c r="F15" s="7">
        <f>+F11-F13</f>
        <v>-16596519.719799995</v>
      </c>
      <c r="G15" s="7">
        <f t="shared" ref="G15:H15" si="1">+G11-G13</f>
        <v>-19112942.235399991</v>
      </c>
      <c r="H15" s="7">
        <f t="shared" si="1"/>
        <v>-21299172.458999991</v>
      </c>
      <c r="I15" s="7"/>
    </row>
    <row r="16" spans="1:9" x14ac:dyDescent="0.25">
      <c r="B16" s="10"/>
      <c r="F16" s="7"/>
      <c r="G16" s="7"/>
      <c r="H16" s="7"/>
      <c r="I16" s="7"/>
    </row>
    <row r="17" spans="2:9" x14ac:dyDescent="0.25">
      <c r="B17" s="10">
        <v>6</v>
      </c>
      <c r="C17" t="s">
        <v>116</v>
      </c>
      <c r="F17" s="15">
        <v>0.75322100000000003</v>
      </c>
      <c r="G17" s="15">
        <f>+F17</f>
        <v>0.75322100000000003</v>
      </c>
      <c r="H17" s="15">
        <f>+F17</f>
        <v>0.75322100000000003</v>
      </c>
      <c r="I17" s="7"/>
    </row>
    <row r="18" spans="2:9" x14ac:dyDescent="0.25">
      <c r="B18" s="10"/>
      <c r="F18" s="7"/>
      <c r="G18" s="7"/>
      <c r="H18" s="7"/>
      <c r="I18" s="7"/>
    </row>
    <row r="19" spans="2:9" ht="17.25" x14ac:dyDescent="0.4">
      <c r="B19" s="10">
        <v>7</v>
      </c>
      <c r="C19" t="s">
        <v>117</v>
      </c>
      <c r="F19" s="11">
        <f>+F15/F17</f>
        <v>-22034063.999543287</v>
      </c>
      <c r="G19" s="11">
        <f t="shared" ref="G19:H19" si="2">+G15/G17</f>
        <v>-25374946.045582891</v>
      </c>
      <c r="H19" s="11">
        <f t="shared" si="2"/>
        <v>-28277454.371293407</v>
      </c>
      <c r="I19" s="7"/>
    </row>
    <row r="20" spans="2:9" x14ac:dyDescent="0.25">
      <c r="B20" s="10"/>
    </row>
    <row r="21" spans="2:9" x14ac:dyDescent="0.25">
      <c r="B21" s="10"/>
    </row>
    <row r="22" spans="2:9" x14ac:dyDescent="0.25">
      <c r="C22" t="s">
        <v>5</v>
      </c>
    </row>
    <row r="23" spans="2:9" x14ac:dyDescent="0.25">
      <c r="C23" t="s">
        <v>15</v>
      </c>
    </row>
    <row r="24" spans="2:9" x14ac:dyDescent="0.25">
      <c r="C24" t="s">
        <v>60</v>
      </c>
    </row>
    <row r="25" spans="2:9" x14ac:dyDescent="0.25">
      <c r="C25" t="s">
        <v>12</v>
      </c>
    </row>
    <row r="26" spans="2:9" x14ac:dyDescent="0.25">
      <c r="C26" t="s">
        <v>13</v>
      </c>
    </row>
    <row r="27" spans="2:9" x14ac:dyDescent="0.25">
      <c r="C27" t="s">
        <v>136</v>
      </c>
    </row>
    <row r="28" spans="2:9" x14ac:dyDescent="0.25">
      <c r="C28" t="s">
        <v>14</v>
      </c>
    </row>
  </sheetData>
  <pageMargins left="0.7" right="0.7" top="0.75" bottom="0.75" header="0.3" footer="0.3"/>
  <pageSetup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FEC5-B8C3-4EEF-BC2F-0E94D9DA1EC6}">
  <sheetPr>
    <pageSetUpPr fitToPage="1"/>
  </sheetPr>
  <dimension ref="A1:I26"/>
  <sheetViews>
    <sheetView workbookViewId="0">
      <selection activeCell="B25" sqref="B25"/>
    </sheetView>
  </sheetViews>
  <sheetFormatPr defaultRowHeight="15" x14ac:dyDescent="0.25"/>
  <cols>
    <col min="1" max="1" width="9.42578125" bestFit="1" customWidth="1"/>
    <col min="2" max="2" width="22.7109375" customWidth="1"/>
    <col min="4" max="4" width="12.5703125" bestFit="1" customWidth="1"/>
    <col min="5" max="5" width="6.7109375" customWidth="1"/>
    <col min="6" max="6" width="12.5703125" bestFit="1" customWidth="1"/>
    <col min="7" max="7" width="6.7109375" customWidth="1"/>
    <col min="8" max="8" width="12.5703125" bestFit="1" customWidth="1"/>
  </cols>
  <sheetData>
    <row r="1" spans="1:8" x14ac:dyDescent="0.25">
      <c r="A1" s="17"/>
      <c r="B1" s="17"/>
      <c r="C1" s="17"/>
      <c r="D1" s="17"/>
      <c r="E1" s="17"/>
      <c r="F1" s="17"/>
      <c r="G1" s="17" t="s">
        <v>123</v>
      </c>
      <c r="H1" s="17"/>
    </row>
    <row r="2" spans="1:8" x14ac:dyDescent="0.25">
      <c r="A2" s="17"/>
      <c r="B2" s="17" t="s">
        <v>7</v>
      </c>
      <c r="C2" s="17"/>
      <c r="D2" s="17"/>
      <c r="E2" s="17"/>
      <c r="F2" s="17"/>
      <c r="G2" s="17" t="s">
        <v>27</v>
      </c>
      <c r="H2" s="17"/>
    </row>
    <row r="3" spans="1:8" x14ac:dyDescent="0.25">
      <c r="A3" s="17"/>
      <c r="B3" s="17" t="s">
        <v>26</v>
      </c>
      <c r="C3" s="17"/>
      <c r="D3" s="17"/>
      <c r="E3" s="17"/>
      <c r="F3" s="17"/>
      <c r="G3" s="17"/>
      <c r="H3" s="17"/>
    </row>
    <row r="8" spans="1:8" x14ac:dyDescent="0.25">
      <c r="A8" s="16"/>
      <c r="B8" s="16"/>
      <c r="C8" s="16"/>
      <c r="D8" s="5">
        <v>2023</v>
      </c>
      <c r="E8" s="5"/>
      <c r="F8" s="5">
        <v>2024</v>
      </c>
      <c r="G8" s="5"/>
      <c r="H8" s="5">
        <v>2025</v>
      </c>
    </row>
    <row r="11" spans="1:8" x14ac:dyDescent="0.25">
      <c r="A11" s="10">
        <v>1</v>
      </c>
      <c r="B11" s="7" t="s">
        <v>17</v>
      </c>
      <c r="C11" s="7"/>
      <c r="D11" s="7">
        <f>-18074798-(0.3406*44639)</f>
        <v>-18090002.043400001</v>
      </c>
      <c r="E11" s="7"/>
      <c r="F11" s="7">
        <f>+D11</f>
        <v>-18090002.043400001</v>
      </c>
      <c r="G11" s="7"/>
      <c r="H11" s="7">
        <f>+D11</f>
        <v>-18090002.043400001</v>
      </c>
    </row>
    <row r="12" spans="1:8" x14ac:dyDescent="0.25">
      <c r="A12" s="10"/>
      <c r="B12" s="7"/>
      <c r="C12" s="7"/>
      <c r="D12" s="7"/>
      <c r="E12" s="7"/>
      <c r="F12" s="7"/>
      <c r="G12" s="7"/>
      <c r="H12" s="7"/>
    </row>
    <row r="13" spans="1:8" x14ac:dyDescent="0.25">
      <c r="A13" s="10">
        <v>2</v>
      </c>
      <c r="B13" s="4" t="s">
        <v>18</v>
      </c>
      <c r="C13" s="4"/>
      <c r="D13" s="6">
        <f>0.21*D11</f>
        <v>-3798900.4291139999</v>
      </c>
      <c r="E13" s="6"/>
      <c r="F13" s="6">
        <f t="shared" ref="F13" si="0">0.21*F11</f>
        <v>-3798900.4291139999</v>
      </c>
      <c r="G13" s="6"/>
      <c r="H13" s="6">
        <f t="shared" ref="H13" si="1">0.21*H11</f>
        <v>-3798900.4291139999</v>
      </c>
    </row>
    <row r="14" spans="1:8" x14ac:dyDescent="0.25">
      <c r="A14" s="10"/>
      <c r="B14" s="7"/>
      <c r="C14" s="7"/>
      <c r="D14" s="7"/>
      <c r="E14" s="7"/>
      <c r="F14" s="7"/>
      <c r="G14" s="7"/>
      <c r="H14" s="7"/>
    </row>
    <row r="15" spans="1:8" x14ac:dyDescent="0.25">
      <c r="A15" s="10">
        <v>3</v>
      </c>
      <c r="B15" s="7" t="s">
        <v>19</v>
      </c>
      <c r="C15" s="7"/>
      <c r="D15" s="7">
        <f>+D11-D13</f>
        <v>-14291101.614286002</v>
      </c>
      <c r="E15" s="7"/>
      <c r="F15" s="7">
        <f t="shared" ref="F15" si="2">+F11-F13</f>
        <v>-14291101.614286002</v>
      </c>
      <c r="G15" s="7"/>
      <c r="H15" s="7">
        <f t="shared" ref="H15" si="3">+H11-H13</f>
        <v>-14291101.614286002</v>
      </c>
    </row>
    <row r="16" spans="1:8" x14ac:dyDescent="0.25">
      <c r="A16" s="10"/>
    </row>
    <row r="17" spans="1:9" x14ac:dyDescent="0.25">
      <c r="A17" s="10">
        <v>4</v>
      </c>
      <c r="B17" t="s">
        <v>20</v>
      </c>
      <c r="D17" s="15">
        <v>0.75322100000000003</v>
      </c>
      <c r="E17" s="15"/>
      <c r="F17" s="15">
        <f>+D17</f>
        <v>0.75322100000000003</v>
      </c>
      <c r="G17" s="13"/>
      <c r="H17" s="13">
        <f>+D17</f>
        <v>0.75322100000000003</v>
      </c>
    </row>
    <row r="18" spans="1:9" x14ac:dyDescent="0.25">
      <c r="A18" s="10"/>
    </row>
    <row r="19" spans="1:9" x14ac:dyDescent="0.25">
      <c r="A19" s="10">
        <v>5</v>
      </c>
      <c r="B19" s="7" t="s">
        <v>21</v>
      </c>
      <c r="C19" s="7"/>
      <c r="D19" s="7">
        <f>+D15/D17</f>
        <v>-18973318.075685624</v>
      </c>
      <c r="E19" s="7"/>
      <c r="F19" s="7">
        <f t="shared" ref="F19" si="4">+F15/F17</f>
        <v>-18973318.075685624</v>
      </c>
      <c r="G19" s="7"/>
      <c r="H19" s="7">
        <f t="shared" ref="H19" si="5">+H15/H17</f>
        <v>-18973318.075685624</v>
      </c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t="s">
        <v>5</v>
      </c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t="s">
        <v>22</v>
      </c>
      <c r="C22" s="7"/>
      <c r="D22" s="7"/>
      <c r="E22" s="7"/>
      <c r="F22" s="7"/>
      <c r="G22" s="7"/>
      <c r="H22" s="7"/>
      <c r="I22" s="7"/>
    </row>
    <row r="23" spans="1:9" x14ac:dyDescent="0.25">
      <c r="B23" t="s">
        <v>23</v>
      </c>
    </row>
    <row r="24" spans="1:9" x14ac:dyDescent="0.25">
      <c r="B24" t="s">
        <v>24</v>
      </c>
    </row>
    <row r="25" spans="1:9" x14ac:dyDescent="0.25">
      <c r="B25" t="s">
        <v>137</v>
      </c>
    </row>
    <row r="26" spans="1:9" x14ac:dyDescent="0.25">
      <c r="B26" t="s">
        <v>25</v>
      </c>
    </row>
  </sheetData>
  <pageMargins left="0.7" right="0.7" top="0.75" bottom="0.75" header="0.3" footer="0.3"/>
  <pageSetup scale="8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5D01-BA36-4978-AD2F-213E6AB69436}">
  <sheetPr>
    <pageSetUpPr fitToPage="1"/>
  </sheetPr>
  <dimension ref="B1:J33"/>
  <sheetViews>
    <sheetView workbookViewId="0">
      <selection activeCell="C32" sqref="C32"/>
    </sheetView>
  </sheetViews>
  <sheetFormatPr defaultRowHeight="15" x14ac:dyDescent="0.25"/>
  <cols>
    <col min="3" max="3" width="20.7109375" customWidth="1"/>
    <col min="6" max="6" width="14.7109375" customWidth="1"/>
    <col min="7" max="7" width="5.7109375" customWidth="1"/>
    <col min="8" max="8" width="14.7109375" customWidth="1"/>
    <col min="9" max="9" width="5.7109375" customWidth="1"/>
    <col min="10" max="10" width="14.7109375" customWidth="1"/>
  </cols>
  <sheetData>
    <row r="1" spans="2:10" x14ac:dyDescent="0.25">
      <c r="B1" s="17"/>
      <c r="C1" s="17"/>
      <c r="D1" s="17"/>
      <c r="E1" s="17"/>
      <c r="F1" s="17"/>
      <c r="G1" s="17"/>
      <c r="H1" s="17"/>
      <c r="I1" s="17"/>
      <c r="J1" s="17" t="s">
        <v>123</v>
      </c>
    </row>
    <row r="2" spans="2:10" x14ac:dyDescent="0.25">
      <c r="B2" s="17"/>
      <c r="C2" s="17" t="s">
        <v>7</v>
      </c>
      <c r="D2" s="17"/>
      <c r="E2" s="17"/>
      <c r="F2" s="17"/>
      <c r="G2" s="17"/>
      <c r="H2" s="17"/>
      <c r="I2" s="17"/>
      <c r="J2" s="17" t="s">
        <v>29</v>
      </c>
    </row>
    <row r="3" spans="2:10" x14ac:dyDescent="0.25">
      <c r="B3" s="17"/>
      <c r="C3" s="17" t="s">
        <v>30</v>
      </c>
      <c r="D3" s="17"/>
      <c r="E3" s="17"/>
      <c r="F3" s="17"/>
      <c r="G3" s="17"/>
      <c r="H3" s="17"/>
      <c r="I3" s="17"/>
      <c r="J3" s="17"/>
    </row>
    <row r="5" spans="2:10" x14ac:dyDescent="0.25">
      <c r="B5" s="5"/>
      <c r="C5" s="5"/>
      <c r="D5" s="5"/>
      <c r="E5" s="5"/>
      <c r="F5" s="5">
        <v>2023</v>
      </c>
      <c r="G5" s="5"/>
      <c r="H5" s="5">
        <v>2024</v>
      </c>
      <c r="I5" s="5"/>
      <c r="J5" s="5">
        <v>2025</v>
      </c>
    </row>
    <row r="7" spans="2:10" x14ac:dyDescent="0.25">
      <c r="B7" s="10">
        <v>1</v>
      </c>
      <c r="C7" s="3" t="s">
        <v>41</v>
      </c>
      <c r="D7" s="3"/>
      <c r="E7" s="3"/>
      <c r="F7" s="7">
        <v>-86720157</v>
      </c>
      <c r="G7" s="7"/>
      <c r="H7" s="7">
        <f>+F7</f>
        <v>-86720157</v>
      </c>
      <c r="I7" s="7"/>
      <c r="J7" s="7">
        <f>+F7</f>
        <v>-86720157</v>
      </c>
    </row>
    <row r="8" spans="2:10" x14ac:dyDescent="0.25">
      <c r="B8" s="10">
        <v>2</v>
      </c>
      <c r="C8" t="s">
        <v>33</v>
      </c>
      <c r="F8" s="4">
        <f>-14623051-2425041</f>
        <v>-17048092</v>
      </c>
      <c r="G8" s="4"/>
      <c r="H8" s="4">
        <f>-14623051-62609679</f>
        <v>-77232730</v>
      </c>
      <c r="I8" s="4"/>
      <c r="J8" s="4">
        <f>+H8</f>
        <v>-77232730</v>
      </c>
    </row>
    <row r="9" spans="2:10" x14ac:dyDescent="0.25">
      <c r="B9" s="10">
        <v>3</v>
      </c>
      <c r="C9" t="s">
        <v>34</v>
      </c>
      <c r="F9" s="6">
        <f>15342127+5800386-(0.0556*F7)-(0.0556*F8/2)</f>
        <v>26438090.686799999</v>
      </c>
      <c r="G9" s="6"/>
      <c r="H9" s="6">
        <f>+F9+(0.0556*-H7)+(0.0556*-H8/2)</f>
        <v>33406801.310000002</v>
      </c>
      <c r="I9" s="6"/>
      <c r="J9" s="6">
        <f>+H9+(0.0556*-J7)+(0.0556*-J8)</f>
        <v>42522581.827200003</v>
      </c>
    </row>
    <row r="10" spans="2:10" x14ac:dyDescent="0.25">
      <c r="B10" s="10">
        <v>4</v>
      </c>
      <c r="C10" t="s">
        <v>35</v>
      </c>
      <c r="F10" s="7">
        <f>+F8+F9+F7</f>
        <v>-77330158.313199997</v>
      </c>
      <c r="G10" s="7"/>
      <c r="H10" s="7">
        <f t="shared" ref="H10:J10" si="0">+H8+H9+H7</f>
        <v>-130546085.69</v>
      </c>
      <c r="I10" s="7"/>
      <c r="J10" s="7">
        <f t="shared" si="0"/>
        <v>-121430305.1728</v>
      </c>
    </row>
    <row r="11" spans="2:10" x14ac:dyDescent="0.25">
      <c r="B11" s="10">
        <v>5</v>
      </c>
      <c r="C11" t="s">
        <v>118</v>
      </c>
      <c r="F11" s="12">
        <v>6.83E-2</v>
      </c>
      <c r="G11" s="13"/>
      <c r="H11" s="12">
        <v>6.83E-2</v>
      </c>
      <c r="I11" s="13"/>
      <c r="J11" s="12">
        <v>6.83E-2</v>
      </c>
    </row>
    <row r="12" spans="2:10" x14ac:dyDescent="0.25">
      <c r="B12" s="10">
        <v>6</v>
      </c>
      <c r="C12" s="7" t="s">
        <v>36</v>
      </c>
      <c r="D12" s="7"/>
      <c r="E12" s="7"/>
      <c r="F12" s="7">
        <f>+F10*F11</f>
        <v>-5281649.8127915598</v>
      </c>
      <c r="G12" s="7"/>
      <c r="H12" s="7">
        <f>+H10*H11</f>
        <v>-8916297.6526270006</v>
      </c>
      <c r="I12" s="7"/>
      <c r="J12" s="7">
        <f>+J10*J11</f>
        <v>-8293689.8433022406</v>
      </c>
    </row>
    <row r="13" spans="2:10" x14ac:dyDescent="0.25">
      <c r="B13" s="10">
        <v>7</v>
      </c>
      <c r="C13" s="4" t="s">
        <v>37</v>
      </c>
      <c r="D13" s="4"/>
      <c r="E13" s="4"/>
      <c r="F13" s="6">
        <f>+F10*0.0256*0.21</f>
        <v>-415726.9310917632</v>
      </c>
      <c r="G13" s="6"/>
      <c r="H13" s="6">
        <f t="shared" ref="H13:J13" si="1">+H10*0.0256*0.21</f>
        <v>-701815.75666943996</v>
      </c>
      <c r="I13" s="6"/>
      <c r="J13" s="6">
        <f t="shared" si="1"/>
        <v>-652809.32060897292</v>
      </c>
    </row>
    <row r="14" spans="2:10" x14ac:dyDescent="0.25">
      <c r="B14" s="10">
        <v>8</v>
      </c>
      <c r="C14" t="s">
        <v>38</v>
      </c>
      <c r="F14" s="7">
        <f>+F12-F13</f>
        <v>-4865922.8816997968</v>
      </c>
      <c r="G14" s="7"/>
      <c r="H14" s="7">
        <f>+H12-H13</f>
        <v>-8214481.8959575603</v>
      </c>
      <c r="I14" s="7"/>
      <c r="J14" s="7">
        <f>+J12-J13</f>
        <v>-7640880.522693268</v>
      </c>
    </row>
    <row r="15" spans="2:10" x14ac:dyDescent="0.25">
      <c r="B15" s="10">
        <v>9</v>
      </c>
      <c r="C15" t="s">
        <v>39</v>
      </c>
      <c r="F15" s="19">
        <v>0.75322100000000003</v>
      </c>
      <c r="G15" s="19"/>
      <c r="H15" s="19">
        <f>+F15</f>
        <v>0.75322100000000003</v>
      </c>
      <c r="I15" s="19"/>
      <c r="J15" s="19">
        <f>+F15</f>
        <v>0.75322100000000003</v>
      </c>
    </row>
    <row r="16" spans="2:10" ht="17.25" x14ac:dyDescent="0.4">
      <c r="B16" s="10">
        <v>10</v>
      </c>
      <c r="C16" t="s">
        <v>40</v>
      </c>
      <c r="F16" s="11">
        <f>+F14/F15</f>
        <v>-6460152.9719694443</v>
      </c>
      <c r="G16" s="11"/>
      <c r="H16" s="11">
        <f>+H14/H15</f>
        <v>-10905805.727611896</v>
      </c>
      <c r="I16" s="11"/>
      <c r="J16" s="11">
        <f>+J14/J15</f>
        <v>-10144274.419716481</v>
      </c>
    </row>
    <row r="17" spans="2:10" x14ac:dyDescent="0.25">
      <c r="B17" s="10"/>
    </row>
    <row r="18" spans="2:10" x14ac:dyDescent="0.25">
      <c r="F18" s="1"/>
      <c r="H18" s="1"/>
      <c r="J18" s="1"/>
    </row>
    <row r="19" spans="2:10" x14ac:dyDescent="0.25">
      <c r="F19" s="3"/>
      <c r="H19" s="3"/>
      <c r="J19" s="3"/>
    </row>
    <row r="20" spans="2:10" x14ac:dyDescent="0.25">
      <c r="C20" t="s">
        <v>5</v>
      </c>
    </row>
    <row r="21" spans="2:10" x14ac:dyDescent="0.25">
      <c r="C21" t="s">
        <v>32</v>
      </c>
    </row>
    <row r="22" spans="2:10" x14ac:dyDescent="0.25">
      <c r="C22" t="s">
        <v>122</v>
      </c>
    </row>
    <row r="23" spans="2:10" x14ac:dyDescent="0.25">
      <c r="C23" t="s">
        <v>47</v>
      </c>
    </row>
    <row r="24" spans="2:10" x14ac:dyDescent="0.25">
      <c r="C24" t="s">
        <v>48</v>
      </c>
    </row>
    <row r="25" spans="2:10" x14ac:dyDescent="0.25">
      <c r="C25" t="s">
        <v>43</v>
      </c>
    </row>
    <row r="26" spans="2:10" x14ac:dyDescent="0.25">
      <c r="C26" t="s">
        <v>119</v>
      </c>
    </row>
    <row r="27" spans="2:10" x14ac:dyDescent="0.25">
      <c r="C27" t="s">
        <v>42</v>
      </c>
    </row>
    <row r="28" spans="2:10" x14ac:dyDescent="0.25">
      <c r="C28" t="s">
        <v>61</v>
      </c>
    </row>
    <row r="29" spans="2:10" x14ac:dyDescent="0.25">
      <c r="C29" t="s">
        <v>44</v>
      </c>
    </row>
    <row r="30" spans="2:10" x14ac:dyDescent="0.25">
      <c r="C30" t="s">
        <v>79</v>
      </c>
    </row>
    <row r="31" spans="2:10" x14ac:dyDescent="0.25">
      <c r="C31" t="s">
        <v>45</v>
      </c>
    </row>
    <row r="32" spans="2:10" x14ac:dyDescent="0.25">
      <c r="C32" t="s">
        <v>138</v>
      </c>
    </row>
    <row r="33" spans="3:3" x14ac:dyDescent="0.25">
      <c r="C33" t="s">
        <v>46</v>
      </c>
    </row>
  </sheetData>
  <pageMargins left="0.7" right="0.7" top="0.75" bottom="0.75" header="0.3" footer="0.3"/>
  <pageSetup scale="8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D9A0-8C68-4539-86CF-9EE2B3D0B46C}">
  <sheetPr>
    <pageSetUpPr fitToPage="1"/>
  </sheetPr>
  <dimension ref="A1:J25"/>
  <sheetViews>
    <sheetView workbookViewId="0">
      <selection activeCell="C24" sqref="C24"/>
    </sheetView>
  </sheetViews>
  <sheetFormatPr defaultRowHeight="15" x14ac:dyDescent="0.25"/>
  <cols>
    <col min="1" max="1" width="14.7109375" customWidth="1"/>
    <col min="2" max="2" width="10.7109375" customWidth="1"/>
    <col min="3" max="4" width="14.7109375" customWidth="1"/>
    <col min="5" max="5" width="11.7109375" customWidth="1"/>
    <col min="6" max="6" width="5.7109375" customWidth="1"/>
    <col min="7" max="7" width="11.7109375" customWidth="1"/>
    <col min="8" max="8" width="5.7109375" customWidth="1"/>
    <col min="9" max="9" width="11.7109375" customWidth="1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 t="s">
        <v>123</v>
      </c>
      <c r="J1" s="17"/>
    </row>
    <row r="2" spans="1:10" x14ac:dyDescent="0.25">
      <c r="A2" s="17"/>
      <c r="B2" s="17"/>
      <c r="C2" s="17" t="s">
        <v>7</v>
      </c>
      <c r="D2" s="17"/>
      <c r="E2" s="17"/>
      <c r="F2" s="17"/>
      <c r="G2" s="17"/>
      <c r="H2" s="17"/>
      <c r="I2" s="17" t="s">
        <v>49</v>
      </c>
      <c r="J2" s="17"/>
    </row>
    <row r="3" spans="1:10" x14ac:dyDescent="0.25">
      <c r="A3" s="17"/>
      <c r="B3" s="17"/>
      <c r="C3" s="17" t="s">
        <v>0</v>
      </c>
      <c r="D3" s="17"/>
      <c r="E3" s="17"/>
      <c r="F3" s="17"/>
      <c r="G3" s="17"/>
      <c r="H3" s="17"/>
      <c r="I3" s="17"/>
      <c r="J3" s="17"/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6" spans="1:10" x14ac:dyDescent="0.25">
      <c r="E6" s="5">
        <v>2023</v>
      </c>
      <c r="F6" s="5"/>
      <c r="G6" s="5">
        <v>2024</v>
      </c>
      <c r="H6" s="5"/>
      <c r="I6" s="5">
        <v>2025</v>
      </c>
    </row>
    <row r="7" spans="1:10" x14ac:dyDescent="0.25">
      <c r="B7" s="10"/>
    </row>
    <row r="8" spans="1:10" x14ac:dyDescent="0.25">
      <c r="A8" s="3"/>
      <c r="B8" s="10">
        <v>1</v>
      </c>
      <c r="C8" s="3" t="s">
        <v>17</v>
      </c>
      <c r="D8" s="3"/>
      <c r="E8" s="7">
        <v>-3499802</v>
      </c>
      <c r="F8" s="7"/>
      <c r="G8" s="7">
        <f>+E8</f>
        <v>-3499802</v>
      </c>
      <c r="H8" s="7"/>
      <c r="I8" s="7">
        <f>+E8</f>
        <v>-3499802</v>
      </c>
    </row>
    <row r="9" spans="1:10" x14ac:dyDescent="0.25">
      <c r="B9" s="10"/>
      <c r="E9" s="1"/>
      <c r="F9" s="1"/>
      <c r="G9" s="1"/>
      <c r="H9" s="1"/>
      <c r="I9" s="1"/>
    </row>
    <row r="10" spans="1:10" x14ac:dyDescent="0.25">
      <c r="B10" s="10">
        <v>2</v>
      </c>
      <c r="C10" t="s">
        <v>18</v>
      </c>
      <c r="E10" s="6">
        <f>0.21*E8</f>
        <v>-734958.41999999993</v>
      </c>
      <c r="F10" s="6"/>
      <c r="G10" s="6">
        <f t="shared" ref="G10" si="0">0.21*G8</f>
        <v>-734958.41999999993</v>
      </c>
      <c r="H10" s="6"/>
      <c r="I10" s="6">
        <f t="shared" ref="I10" si="1">0.21*I8</f>
        <v>-734958.41999999993</v>
      </c>
    </row>
    <row r="11" spans="1:10" x14ac:dyDescent="0.25">
      <c r="B11" s="10"/>
      <c r="E11" s="1"/>
      <c r="F11" s="1"/>
      <c r="G11" s="1"/>
      <c r="H11" s="1"/>
      <c r="I11" s="1"/>
    </row>
    <row r="12" spans="1:10" x14ac:dyDescent="0.25">
      <c r="A12" s="3"/>
      <c r="B12" s="10">
        <v>3</v>
      </c>
      <c r="C12" s="3" t="s">
        <v>19</v>
      </c>
      <c r="D12" s="3"/>
      <c r="E12" s="7">
        <f>+E8-E10</f>
        <v>-2764843.58</v>
      </c>
      <c r="F12" s="7"/>
      <c r="G12" s="7">
        <f t="shared" ref="G12" si="2">+G8-G10</f>
        <v>-2764843.58</v>
      </c>
      <c r="H12" s="7"/>
      <c r="I12" s="7">
        <f t="shared" ref="I12" si="3">+I8-I10</f>
        <v>-2764843.58</v>
      </c>
    </row>
    <row r="13" spans="1:10" x14ac:dyDescent="0.25">
      <c r="B13" s="10"/>
    </row>
    <row r="14" spans="1:10" x14ac:dyDescent="0.25">
      <c r="B14" s="10">
        <v>4</v>
      </c>
      <c r="C14" t="s">
        <v>20</v>
      </c>
      <c r="E14" s="13">
        <v>0.75322100000000003</v>
      </c>
      <c r="F14" s="13"/>
      <c r="G14" s="13">
        <f>+E14</f>
        <v>0.75322100000000003</v>
      </c>
      <c r="H14" s="13"/>
      <c r="I14" s="13">
        <f>+E14</f>
        <v>0.75322100000000003</v>
      </c>
    </row>
    <row r="15" spans="1:10" x14ac:dyDescent="0.25">
      <c r="B15" s="10"/>
    </row>
    <row r="16" spans="1:10" ht="17.25" x14ac:dyDescent="0.4">
      <c r="A16" s="20"/>
      <c r="B16" s="10">
        <v>5</v>
      </c>
      <c r="C16" s="21" t="s">
        <v>21</v>
      </c>
      <c r="D16" s="20"/>
      <c r="E16" s="11">
        <f>+E12/E14</f>
        <v>-3670693.7007863563</v>
      </c>
      <c r="F16" s="11"/>
      <c r="G16" s="11">
        <f t="shared" ref="G16" si="4">+G12/G14</f>
        <v>-3670693.7007863563</v>
      </c>
      <c r="H16" s="11"/>
      <c r="I16" s="11">
        <f t="shared" ref="I16" si="5">+I12/I14</f>
        <v>-3670693.7007863563</v>
      </c>
    </row>
    <row r="17" spans="2:3" x14ac:dyDescent="0.25">
      <c r="B17" s="10"/>
    </row>
    <row r="20" spans="2:3" x14ac:dyDescent="0.25">
      <c r="C20" t="s">
        <v>5</v>
      </c>
    </row>
    <row r="21" spans="2:3" x14ac:dyDescent="0.25">
      <c r="C21" t="s">
        <v>32</v>
      </c>
    </row>
    <row r="22" spans="2:3" x14ac:dyDescent="0.25">
      <c r="C22" t="s">
        <v>23</v>
      </c>
    </row>
    <row r="23" spans="2:3" x14ac:dyDescent="0.25">
      <c r="C23" t="s">
        <v>24</v>
      </c>
    </row>
    <row r="24" spans="2:3" x14ac:dyDescent="0.25">
      <c r="C24" t="s">
        <v>137</v>
      </c>
    </row>
    <row r="25" spans="2:3" x14ac:dyDescent="0.25">
      <c r="C25" t="s">
        <v>25</v>
      </c>
    </row>
  </sheetData>
  <pageMargins left="0.7" right="0.7" top="0.75" bottom="0.75" header="0.3" footer="0.3"/>
  <pageSetup scale="9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E9B3-15E9-4948-9BCB-1388A2BCDFF7}">
  <sheetPr>
    <pageSetUpPr fitToPage="1"/>
  </sheetPr>
  <dimension ref="A1:I17"/>
  <sheetViews>
    <sheetView tabSelected="1" workbookViewId="0">
      <selection activeCell="B18" sqref="B18"/>
    </sheetView>
  </sheetViews>
  <sheetFormatPr defaultRowHeight="15" x14ac:dyDescent="0.25"/>
  <cols>
    <col min="2" max="2" width="20.7109375" customWidth="1"/>
    <col min="5" max="5" width="10" bestFit="1" customWidth="1"/>
    <col min="6" max="6" width="5.7109375" customWidth="1"/>
    <col min="7" max="7" width="10" bestFit="1" customWidth="1"/>
    <col min="8" max="8" width="5.7109375" customWidth="1"/>
    <col min="9" max="9" width="9.28515625" bestFit="1" customWidth="1"/>
  </cols>
  <sheetData>
    <row r="1" spans="1:9" x14ac:dyDescent="0.25">
      <c r="A1" s="17"/>
      <c r="B1" s="17"/>
      <c r="C1" s="17"/>
      <c r="D1" s="17"/>
      <c r="E1" s="17"/>
      <c r="F1" s="17"/>
      <c r="G1" s="17"/>
      <c r="H1" s="17" t="s">
        <v>123</v>
      </c>
      <c r="I1" s="17"/>
    </row>
    <row r="2" spans="1:9" x14ac:dyDescent="0.25">
      <c r="A2" s="17"/>
      <c r="B2" s="17" t="s">
        <v>7</v>
      </c>
      <c r="C2" s="17"/>
      <c r="D2" s="17"/>
      <c r="E2" s="17"/>
      <c r="F2" s="17"/>
      <c r="G2" s="17"/>
      <c r="H2" s="17" t="s">
        <v>55</v>
      </c>
      <c r="I2" s="17"/>
    </row>
    <row r="3" spans="1:9" x14ac:dyDescent="0.25">
      <c r="A3" s="17"/>
      <c r="B3" s="17" t="s">
        <v>2</v>
      </c>
      <c r="C3" s="17"/>
      <c r="D3" s="17"/>
      <c r="E3" s="17"/>
      <c r="F3" s="17"/>
      <c r="G3" s="17"/>
      <c r="H3" s="17"/>
      <c r="I3" s="17"/>
    </row>
    <row r="5" spans="1:9" x14ac:dyDescent="0.25">
      <c r="E5" s="5">
        <v>2023</v>
      </c>
      <c r="F5" s="5"/>
      <c r="G5" s="5">
        <v>2024</v>
      </c>
      <c r="H5" s="5"/>
      <c r="I5" s="5">
        <v>2025</v>
      </c>
    </row>
    <row r="7" spans="1:9" ht="17.25" x14ac:dyDescent="0.4">
      <c r="A7" s="10">
        <v>1</v>
      </c>
      <c r="B7" t="s">
        <v>52</v>
      </c>
      <c r="E7" s="11">
        <v>-321230</v>
      </c>
      <c r="F7" s="11"/>
      <c r="G7" s="11">
        <f>+E7+24631</f>
        <v>-296599</v>
      </c>
      <c r="H7" s="11"/>
      <c r="I7" s="11">
        <f>+G7+343463</f>
        <v>46864</v>
      </c>
    </row>
    <row r="8" spans="1:9" ht="17.25" x14ac:dyDescent="0.4">
      <c r="A8" s="10"/>
      <c r="E8" s="11"/>
      <c r="F8" s="11"/>
      <c r="G8" s="11"/>
      <c r="H8" s="11"/>
      <c r="I8" s="11"/>
    </row>
    <row r="9" spans="1:9" ht="17.25" x14ac:dyDescent="0.4">
      <c r="A9" s="10">
        <v>2</v>
      </c>
      <c r="B9" t="s">
        <v>50</v>
      </c>
      <c r="E9" s="11"/>
      <c r="F9" s="11"/>
      <c r="G9" s="11"/>
      <c r="H9" s="11"/>
      <c r="I9" s="11"/>
    </row>
    <row r="10" spans="1:9" ht="17.25" x14ac:dyDescent="0.4">
      <c r="B10" t="s">
        <v>53</v>
      </c>
      <c r="E10" s="11">
        <f>+E7*0.754801/0.753221</f>
        <v>-321903.8306552791</v>
      </c>
      <c r="F10" s="11"/>
      <c r="G10" s="11">
        <f>+G7*0.754801/0.753221</f>
        <v>-297221.16324292606</v>
      </c>
      <c r="H10" s="11"/>
      <c r="I10" s="11">
        <f>+I7*0.754801/0.753221</f>
        <v>46962.304641001785</v>
      </c>
    </row>
    <row r="11" spans="1:9" ht="17.25" x14ac:dyDescent="0.4">
      <c r="E11" s="20"/>
      <c r="F11" s="20"/>
      <c r="G11" s="20"/>
      <c r="H11" s="20"/>
      <c r="I11" s="20"/>
    </row>
    <row r="12" spans="1:9" x14ac:dyDescent="0.25">
      <c r="E12" s="1"/>
      <c r="F12" s="1"/>
      <c r="G12" s="1"/>
      <c r="H12" s="1"/>
      <c r="I12" s="1"/>
    </row>
    <row r="14" spans="1:9" x14ac:dyDescent="0.25">
      <c r="B14" t="s">
        <v>5</v>
      </c>
    </row>
    <row r="15" spans="1:9" x14ac:dyDescent="0.25">
      <c r="B15" t="s">
        <v>51</v>
      </c>
    </row>
    <row r="16" spans="1:9" x14ac:dyDescent="0.25">
      <c r="B16" t="s">
        <v>54</v>
      </c>
    </row>
    <row r="17" spans="2:2" x14ac:dyDescent="0.25">
      <c r="B17" t="s">
        <v>143</v>
      </c>
    </row>
  </sheetData>
  <pageMargins left="0.7" right="0.7" top="0.75" bottom="0.75" header="0.3" footer="0.3"/>
  <pageSetup scale="9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DDFD-30CA-4300-8808-CBDA0B713BC3}">
  <sheetPr>
    <pageSetUpPr fitToPage="1"/>
  </sheetPr>
  <dimension ref="A1:J24"/>
  <sheetViews>
    <sheetView workbookViewId="0">
      <selection activeCell="B23" sqref="B23"/>
    </sheetView>
  </sheetViews>
  <sheetFormatPr defaultRowHeight="15" x14ac:dyDescent="0.25"/>
  <cols>
    <col min="2" max="2" width="14.7109375" customWidth="1"/>
    <col min="5" max="5" width="11.5703125" bestFit="1" customWidth="1"/>
    <col min="6" max="6" width="5.7109375" customWidth="1"/>
    <col min="7" max="7" width="11.5703125" bestFit="1" customWidth="1"/>
    <col min="8" max="8" width="5.7109375" customWidth="1"/>
    <col min="9" max="9" width="11.5703125" bestFit="1" customWidth="1"/>
  </cols>
  <sheetData>
    <row r="1" spans="1:10" x14ac:dyDescent="0.25">
      <c r="A1" s="17"/>
      <c r="B1" s="17"/>
      <c r="C1" s="17"/>
      <c r="D1" s="17"/>
      <c r="E1" s="17"/>
      <c r="F1" s="17"/>
      <c r="G1" s="17"/>
      <c r="H1" s="17" t="s">
        <v>123</v>
      </c>
      <c r="I1" s="17"/>
    </row>
    <row r="2" spans="1:10" x14ac:dyDescent="0.25">
      <c r="A2" s="17"/>
      <c r="B2" s="17" t="s">
        <v>7</v>
      </c>
      <c r="C2" s="17"/>
      <c r="D2" s="17"/>
      <c r="E2" s="17"/>
      <c r="F2" s="17"/>
      <c r="G2" s="17"/>
      <c r="H2" s="17" t="s">
        <v>57</v>
      </c>
      <c r="I2" s="17"/>
    </row>
    <row r="3" spans="1:10" x14ac:dyDescent="0.25">
      <c r="A3" s="17"/>
      <c r="B3" s="17" t="s">
        <v>56</v>
      </c>
      <c r="C3" s="17"/>
      <c r="D3" s="17"/>
      <c r="E3" s="17"/>
      <c r="F3" s="17"/>
      <c r="G3" s="17"/>
      <c r="H3" s="17"/>
      <c r="I3" s="17"/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x14ac:dyDescent="0.25">
      <c r="A5" s="5"/>
      <c r="B5" s="5"/>
      <c r="C5" s="5"/>
      <c r="D5" s="5"/>
      <c r="E5" s="5">
        <v>2023</v>
      </c>
      <c r="F5" s="5"/>
      <c r="G5" s="5">
        <v>2024</v>
      </c>
      <c r="H5" s="5"/>
      <c r="I5" s="5">
        <v>2025</v>
      </c>
    </row>
    <row r="7" spans="1:10" x14ac:dyDescent="0.25">
      <c r="A7" s="10">
        <v>1</v>
      </c>
      <c r="B7" s="7" t="s">
        <v>17</v>
      </c>
      <c r="C7" s="7"/>
      <c r="D7" s="7"/>
      <c r="E7" s="7">
        <f>-9101528/2</f>
        <v>-4550764</v>
      </c>
      <c r="F7" s="7"/>
      <c r="G7" s="7">
        <f>-9466352/2</f>
        <v>-4733176</v>
      </c>
      <c r="H7" s="7"/>
      <c r="I7" s="7">
        <f>-11564262/2</f>
        <v>-5782131</v>
      </c>
    </row>
    <row r="8" spans="1:10" x14ac:dyDescent="0.25">
      <c r="A8" s="10"/>
      <c r="B8" s="4"/>
      <c r="C8" s="4"/>
      <c r="D8" s="4"/>
      <c r="E8" s="4"/>
      <c r="F8" s="4"/>
      <c r="G8" s="4"/>
      <c r="H8" s="4"/>
      <c r="I8" s="4"/>
    </row>
    <row r="9" spans="1:10" x14ac:dyDescent="0.25">
      <c r="A9" s="10">
        <v>2</v>
      </c>
      <c r="B9" s="4" t="s">
        <v>18</v>
      </c>
      <c r="C9" s="4"/>
      <c r="D9" s="4"/>
      <c r="E9" s="6">
        <f>0.21*E7</f>
        <v>-955660.44</v>
      </c>
      <c r="F9" s="6"/>
      <c r="G9" s="6">
        <f t="shared" ref="G9" si="0">0.21*G7</f>
        <v>-993966.96</v>
      </c>
      <c r="H9" s="6"/>
      <c r="I9" s="6">
        <f t="shared" ref="I9" si="1">0.21*I7</f>
        <v>-1214247.51</v>
      </c>
    </row>
    <row r="10" spans="1:10" x14ac:dyDescent="0.25">
      <c r="A10" s="10"/>
      <c r="B10" s="4"/>
      <c r="C10" s="4"/>
      <c r="D10" s="4"/>
      <c r="E10" s="4"/>
      <c r="F10" s="4"/>
      <c r="G10" s="4"/>
      <c r="H10" s="4"/>
      <c r="I10" s="4"/>
    </row>
    <row r="11" spans="1:10" x14ac:dyDescent="0.25">
      <c r="A11" s="10">
        <v>3</v>
      </c>
      <c r="B11" s="4" t="s">
        <v>19</v>
      </c>
      <c r="C11" s="4"/>
      <c r="D11" s="4"/>
      <c r="E11" s="4">
        <f>+E7-E9</f>
        <v>-3595103.56</v>
      </c>
      <c r="F11" s="4"/>
      <c r="G11" s="4">
        <f t="shared" ref="G11" si="2">+G7-G9</f>
        <v>-3739209.04</v>
      </c>
      <c r="H11" s="4"/>
      <c r="I11" s="4">
        <f t="shared" ref="I11" si="3">+I7-I9</f>
        <v>-4567883.49</v>
      </c>
    </row>
    <row r="12" spans="1:10" x14ac:dyDescent="0.25">
      <c r="A12" s="10"/>
      <c r="B12" s="4"/>
      <c r="C12" s="4"/>
      <c r="D12" s="4"/>
      <c r="E12" s="4"/>
      <c r="F12" s="4"/>
      <c r="G12" s="4"/>
      <c r="H12" s="4"/>
      <c r="I12" s="4"/>
    </row>
    <row r="13" spans="1:10" x14ac:dyDescent="0.25">
      <c r="A13" s="10">
        <v>4</v>
      </c>
      <c r="B13" s="14" t="s">
        <v>20</v>
      </c>
      <c r="C13" s="14"/>
      <c r="D13" s="14"/>
      <c r="E13" s="15">
        <v>0.75322100000000003</v>
      </c>
      <c r="F13" s="15"/>
      <c r="G13" s="15">
        <v>0.75322100000000003</v>
      </c>
      <c r="H13" s="15"/>
      <c r="I13" s="15">
        <v>0.75322100000000003</v>
      </c>
    </row>
    <row r="14" spans="1:10" x14ac:dyDescent="0.25">
      <c r="A14" s="10"/>
      <c r="B14" s="4"/>
      <c r="C14" s="4"/>
      <c r="D14" s="4"/>
      <c r="E14" s="4"/>
      <c r="F14" s="4"/>
      <c r="G14" s="4"/>
      <c r="H14" s="4"/>
      <c r="I14" s="4"/>
    </row>
    <row r="15" spans="1:10" ht="17.25" x14ac:dyDescent="0.4">
      <c r="A15" s="10">
        <v>5</v>
      </c>
      <c r="B15" s="7" t="s">
        <v>21</v>
      </c>
      <c r="C15" s="7"/>
      <c r="D15" s="7"/>
      <c r="E15" s="11">
        <f t="shared" ref="E15:I15" si="4">+E11/E13</f>
        <v>-4772973.0849246103</v>
      </c>
      <c r="F15" s="11"/>
      <c r="G15" s="11">
        <f t="shared" si="4"/>
        <v>-4964292.0736410692</v>
      </c>
      <c r="H15" s="11"/>
      <c r="I15" s="11">
        <f t="shared" si="4"/>
        <v>-6064466.4580514878</v>
      </c>
      <c r="J15" s="17"/>
    </row>
    <row r="16" spans="1:10" x14ac:dyDescent="0.25">
      <c r="A16" s="10"/>
      <c r="B16" s="4"/>
      <c r="C16" s="4"/>
      <c r="D16" s="4"/>
      <c r="E16" s="18"/>
      <c r="F16" s="18"/>
      <c r="G16" s="18"/>
      <c r="H16" s="18"/>
      <c r="I16" s="18"/>
      <c r="J16" s="17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B18" t="s">
        <v>5</v>
      </c>
    </row>
    <row r="19" spans="1:9" x14ac:dyDescent="0.25">
      <c r="B19" t="s">
        <v>58</v>
      </c>
    </row>
    <row r="20" spans="1:9" x14ac:dyDescent="0.25">
      <c r="B20" t="s">
        <v>59</v>
      </c>
    </row>
    <row r="21" spans="1:9" x14ac:dyDescent="0.25">
      <c r="B21" t="s">
        <v>23</v>
      </c>
    </row>
    <row r="22" spans="1:9" x14ac:dyDescent="0.25">
      <c r="B22" t="s">
        <v>24</v>
      </c>
    </row>
    <row r="23" spans="1:9" x14ac:dyDescent="0.25">
      <c r="B23" t="s">
        <v>137</v>
      </c>
    </row>
    <row r="24" spans="1:9" x14ac:dyDescent="0.25">
      <c r="B24" t="s">
        <v>25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7808-7D49-4AA6-AE22-20845531AA71}">
  <sheetPr>
    <pageSetUpPr fitToPage="1"/>
  </sheetPr>
  <dimension ref="A1:I32"/>
  <sheetViews>
    <sheetView workbookViewId="0">
      <selection activeCell="B30" sqref="B30"/>
    </sheetView>
  </sheetViews>
  <sheetFormatPr defaultRowHeight="15" x14ac:dyDescent="0.25"/>
  <cols>
    <col min="2" max="2" width="20.7109375" customWidth="1"/>
    <col min="5" max="5" width="9.28515625" bestFit="1" customWidth="1"/>
    <col min="6" max="6" width="5.7109375" customWidth="1"/>
    <col min="7" max="7" width="12.5703125" bestFit="1" customWidth="1"/>
    <col min="8" max="8" width="5.7109375" customWidth="1"/>
    <col min="9" max="9" width="12.5703125" bestFit="1" customWidth="1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  <c r="I1" s="17" t="s">
        <v>123</v>
      </c>
    </row>
    <row r="2" spans="1:9" x14ac:dyDescent="0.25">
      <c r="A2" s="17"/>
      <c r="B2" s="17" t="s">
        <v>7</v>
      </c>
      <c r="C2" s="17"/>
      <c r="D2" s="17"/>
      <c r="E2" s="17"/>
      <c r="F2" s="17"/>
      <c r="G2" s="17"/>
      <c r="H2" s="17"/>
      <c r="I2" s="17" t="s">
        <v>104</v>
      </c>
    </row>
    <row r="3" spans="1:9" x14ac:dyDescent="0.25">
      <c r="A3" s="17"/>
      <c r="B3" s="17" t="s">
        <v>103</v>
      </c>
      <c r="C3" s="17"/>
      <c r="D3" s="17"/>
      <c r="E3" s="17"/>
      <c r="F3" s="17"/>
      <c r="G3" s="17"/>
      <c r="H3" s="17"/>
      <c r="I3" s="17"/>
    </row>
    <row r="5" spans="1:9" x14ac:dyDescent="0.25">
      <c r="A5" s="5"/>
      <c r="B5" s="5"/>
      <c r="C5" s="5"/>
      <c r="D5" s="5"/>
      <c r="E5" s="5">
        <v>2023</v>
      </c>
      <c r="F5" s="5"/>
      <c r="G5" s="5">
        <v>2024</v>
      </c>
      <c r="H5" s="5"/>
      <c r="I5" s="5">
        <v>2025</v>
      </c>
    </row>
    <row r="7" spans="1:9" x14ac:dyDescent="0.25">
      <c r="A7" s="10">
        <v>1</v>
      </c>
      <c r="B7" s="7" t="s">
        <v>17</v>
      </c>
      <c r="C7" s="7"/>
      <c r="D7" s="7"/>
      <c r="E7" s="7">
        <v>0</v>
      </c>
      <c r="F7" s="7"/>
      <c r="G7" s="7">
        <v>-62605100</v>
      </c>
      <c r="H7" s="7"/>
      <c r="I7" s="7">
        <v>-51884682</v>
      </c>
    </row>
    <row r="8" spans="1:9" x14ac:dyDescent="0.25">
      <c r="A8" s="10"/>
      <c r="E8" s="1"/>
    </row>
    <row r="9" spans="1:9" x14ac:dyDescent="0.25">
      <c r="A9" s="10">
        <v>2</v>
      </c>
      <c r="B9" t="s">
        <v>115</v>
      </c>
      <c r="E9" s="12">
        <v>6.83E-2</v>
      </c>
      <c r="F9" s="13"/>
      <c r="G9" s="12">
        <v>6.83E-2</v>
      </c>
      <c r="H9" s="13"/>
      <c r="I9" s="12">
        <v>6.83E-2</v>
      </c>
    </row>
    <row r="10" spans="1:9" x14ac:dyDescent="0.25">
      <c r="A10" s="10"/>
      <c r="E10" s="1"/>
      <c r="G10" s="1"/>
      <c r="I10" s="1"/>
    </row>
    <row r="11" spans="1:9" x14ac:dyDescent="0.25">
      <c r="A11" s="10">
        <v>3</v>
      </c>
      <c r="B11" s="7" t="s">
        <v>9</v>
      </c>
      <c r="C11" s="7"/>
      <c r="D11" s="7"/>
      <c r="E11" s="7">
        <f>+E7*E9</f>
        <v>0</v>
      </c>
      <c r="F11" s="7"/>
      <c r="G11" s="7">
        <f>+G7*G9</f>
        <v>-4275928.33</v>
      </c>
      <c r="H11" s="7"/>
      <c r="I11" s="7">
        <f>+I7*I9</f>
        <v>-3543723.7806000002</v>
      </c>
    </row>
    <row r="12" spans="1:9" x14ac:dyDescent="0.25">
      <c r="A12" s="10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0">
        <v>4</v>
      </c>
      <c r="B13" s="4" t="s">
        <v>101</v>
      </c>
      <c r="C13" s="4"/>
      <c r="D13" s="4"/>
      <c r="E13" s="6">
        <f>+E7*0.0256*0.21</f>
        <v>0</v>
      </c>
      <c r="F13" s="6"/>
      <c r="G13" s="6">
        <f>+G7*0.0256*0.21</f>
        <v>-336565.01760000002</v>
      </c>
      <c r="H13" s="6"/>
      <c r="I13" s="6">
        <f>+I7*0.0256*0.21</f>
        <v>-278932.05043200002</v>
      </c>
    </row>
    <row r="14" spans="1:9" x14ac:dyDescent="0.25">
      <c r="A14" s="10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10">
        <v>5</v>
      </c>
      <c r="B15" s="7" t="s">
        <v>72</v>
      </c>
      <c r="C15" s="7"/>
      <c r="D15" s="7"/>
      <c r="E15" s="7">
        <f>+E11-E13</f>
        <v>0</v>
      </c>
      <c r="F15" s="7"/>
      <c r="G15" s="7">
        <f>+G11-G13</f>
        <v>-3939363.3124000002</v>
      </c>
      <c r="H15" s="7"/>
      <c r="I15" s="7">
        <f>+I11-I13</f>
        <v>-3264791.7301680003</v>
      </c>
    </row>
    <row r="16" spans="1:9" x14ac:dyDescent="0.25">
      <c r="A16" s="10"/>
    </row>
    <row r="17" spans="1:9" x14ac:dyDescent="0.25">
      <c r="A17" s="10">
        <v>6</v>
      </c>
      <c r="B17" t="s">
        <v>73</v>
      </c>
      <c r="E17" s="13">
        <v>0.75322100000000003</v>
      </c>
      <c r="F17" s="13"/>
      <c r="G17" s="13">
        <f>+E17</f>
        <v>0.75322100000000003</v>
      </c>
      <c r="H17" s="13"/>
      <c r="I17" s="13">
        <f>+E17</f>
        <v>0.75322100000000003</v>
      </c>
    </row>
    <row r="18" spans="1:9" x14ac:dyDescent="0.25">
      <c r="A18" s="24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24">
        <v>7</v>
      </c>
      <c r="B19" s="23" t="s">
        <v>102</v>
      </c>
      <c r="C19" s="23"/>
      <c r="D19" s="23"/>
      <c r="E19" s="28">
        <f>+E15/E17</f>
        <v>0</v>
      </c>
      <c r="F19" s="28"/>
      <c r="G19" s="28">
        <f>+G15/G17</f>
        <v>-5230023.2101866519</v>
      </c>
      <c r="H19" s="28"/>
      <c r="I19" s="28">
        <f>+I15/I17</f>
        <v>-4334440.6623925781</v>
      </c>
    </row>
    <row r="21" spans="1:9" ht="17.25" x14ac:dyDescent="0.4">
      <c r="A21" s="10">
        <v>8</v>
      </c>
      <c r="B21" t="s">
        <v>110</v>
      </c>
      <c r="E21" s="11">
        <f>+E19</f>
        <v>0</v>
      </c>
      <c r="F21" s="22"/>
      <c r="G21" s="11">
        <f>+G19+E21</f>
        <v>-5230023.2101866519</v>
      </c>
      <c r="H21" s="22"/>
      <c r="I21" s="11">
        <f>+I19+G21</f>
        <v>-9564463.87257923</v>
      </c>
    </row>
    <row r="24" spans="1:9" x14ac:dyDescent="0.25">
      <c r="B24" t="s">
        <v>5</v>
      </c>
    </row>
    <row r="25" spans="1:9" x14ac:dyDescent="0.25">
      <c r="B25" t="s">
        <v>140</v>
      </c>
    </row>
    <row r="26" spans="1:9" x14ac:dyDescent="0.25">
      <c r="B26" t="s">
        <v>60</v>
      </c>
    </row>
    <row r="27" spans="1:9" x14ac:dyDescent="0.25">
      <c r="B27" t="s">
        <v>78</v>
      </c>
    </row>
    <row r="28" spans="1:9" x14ac:dyDescent="0.25">
      <c r="B28" t="s">
        <v>120</v>
      </c>
    </row>
    <row r="29" spans="1:9" x14ac:dyDescent="0.25">
      <c r="B29" t="s">
        <v>105</v>
      </c>
    </row>
    <row r="30" spans="1:9" x14ac:dyDescent="0.25">
      <c r="B30" t="s">
        <v>139</v>
      </c>
    </row>
    <row r="31" spans="1:9" x14ac:dyDescent="0.25">
      <c r="B31" t="s">
        <v>111</v>
      </c>
    </row>
    <row r="32" spans="1:9" x14ac:dyDescent="0.25">
      <c r="B32" t="s">
        <v>121</v>
      </c>
    </row>
  </sheetData>
  <pageMargins left="0.7" right="0.7" top="0.75" bottom="0.75" header="0.3" footer="0.3"/>
  <pageSetup scale="8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1186-EE72-4D3D-B877-F2657E6CFABD}">
  <sheetPr>
    <pageSetUpPr fitToPage="1"/>
  </sheetPr>
  <dimension ref="B1:K33"/>
  <sheetViews>
    <sheetView workbookViewId="0">
      <selection activeCell="C31" sqref="C31"/>
    </sheetView>
  </sheetViews>
  <sheetFormatPr defaultRowHeight="15" x14ac:dyDescent="0.25"/>
  <cols>
    <col min="3" max="3" width="20.7109375" customWidth="1"/>
    <col min="8" max="8" width="12.5703125" bestFit="1" customWidth="1"/>
    <col min="10" max="10" width="12.7109375" customWidth="1"/>
  </cols>
  <sheetData>
    <row r="1" spans="2:1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x14ac:dyDescent="0.25">
      <c r="B2" s="17"/>
      <c r="C2" s="17"/>
      <c r="D2" s="17"/>
      <c r="E2" s="17"/>
      <c r="F2" s="17"/>
      <c r="G2" s="17"/>
      <c r="H2" s="17"/>
      <c r="I2" s="17"/>
      <c r="J2" s="17" t="s">
        <v>123</v>
      </c>
      <c r="K2" s="17"/>
    </row>
    <row r="3" spans="2:11" x14ac:dyDescent="0.25">
      <c r="B3" s="17"/>
      <c r="C3" s="17" t="s">
        <v>7</v>
      </c>
      <c r="D3" s="17"/>
      <c r="E3" s="17"/>
      <c r="F3" s="17"/>
      <c r="G3" s="17"/>
      <c r="H3" s="17"/>
      <c r="I3" s="17"/>
      <c r="J3" s="17" t="s">
        <v>107</v>
      </c>
      <c r="K3" s="17"/>
    </row>
    <row r="4" spans="2:11" x14ac:dyDescent="0.25">
      <c r="B4" s="17"/>
      <c r="C4" s="17" t="s">
        <v>106</v>
      </c>
      <c r="D4" s="17"/>
      <c r="E4" s="17"/>
      <c r="F4" s="17"/>
      <c r="G4" s="17"/>
      <c r="H4" s="17"/>
      <c r="I4" s="17"/>
      <c r="J4" s="17"/>
      <c r="K4" s="17"/>
    </row>
    <row r="6" spans="2:11" x14ac:dyDescent="0.25">
      <c r="B6" s="5"/>
      <c r="C6" s="5"/>
      <c r="D6" s="5"/>
      <c r="E6" s="5"/>
      <c r="F6" s="5">
        <v>2023</v>
      </c>
      <c r="G6" s="5"/>
      <c r="H6" s="5">
        <v>2024</v>
      </c>
      <c r="I6" s="5"/>
      <c r="J6" s="5">
        <v>2025</v>
      </c>
    </row>
    <row r="8" spans="2:11" x14ac:dyDescent="0.25">
      <c r="B8" s="10">
        <v>1</v>
      </c>
      <c r="C8" s="7" t="s">
        <v>17</v>
      </c>
      <c r="D8" s="7"/>
      <c r="E8" s="7"/>
      <c r="F8" s="7">
        <v>0</v>
      </c>
      <c r="G8" s="7"/>
      <c r="H8" s="7">
        <v>-17484864</v>
      </c>
      <c r="I8" s="7"/>
      <c r="J8" s="7">
        <v>-8515000</v>
      </c>
    </row>
    <row r="9" spans="2:11" x14ac:dyDescent="0.25">
      <c r="B9" s="10"/>
      <c r="F9" s="1"/>
    </row>
    <row r="10" spans="2:11" x14ac:dyDescent="0.25">
      <c r="B10" s="10">
        <v>2</v>
      </c>
      <c r="C10" t="s">
        <v>115</v>
      </c>
      <c r="F10" s="12">
        <v>6.83E-2</v>
      </c>
      <c r="G10" s="13"/>
      <c r="H10" s="12">
        <v>6.83E-2</v>
      </c>
      <c r="I10" s="13"/>
      <c r="J10" s="12">
        <v>6.83E-2</v>
      </c>
    </row>
    <row r="11" spans="2:11" x14ac:dyDescent="0.25">
      <c r="B11" s="10"/>
      <c r="F11" s="1"/>
      <c r="H11" s="1"/>
      <c r="J11" s="1"/>
    </row>
    <row r="12" spans="2:11" x14ac:dyDescent="0.25">
      <c r="B12" s="10">
        <v>3</v>
      </c>
      <c r="C12" s="7" t="s">
        <v>9</v>
      </c>
      <c r="D12" s="7"/>
      <c r="E12" s="7"/>
      <c r="F12" s="7">
        <f>+F8*F10</f>
        <v>0</v>
      </c>
      <c r="G12" s="7"/>
      <c r="H12" s="7">
        <f>+H8*H10</f>
        <v>-1194216.2112</v>
      </c>
      <c r="I12" s="7"/>
      <c r="J12" s="7">
        <f>+J8*J10</f>
        <v>-581574.5</v>
      </c>
    </row>
    <row r="13" spans="2:11" x14ac:dyDescent="0.25">
      <c r="B13" s="10"/>
      <c r="C13" s="7"/>
      <c r="D13" s="7"/>
      <c r="E13" s="7"/>
      <c r="F13" s="7"/>
      <c r="G13" s="7"/>
      <c r="H13" s="7"/>
      <c r="I13" s="7"/>
      <c r="J13" s="7"/>
    </row>
    <row r="14" spans="2:11" x14ac:dyDescent="0.25">
      <c r="B14" s="10">
        <v>4</v>
      </c>
      <c r="C14" s="4" t="s">
        <v>101</v>
      </c>
      <c r="D14" s="4"/>
      <c r="E14" s="4"/>
      <c r="F14" s="6">
        <f>+F8*0.0256*0.21</f>
        <v>0</v>
      </c>
      <c r="G14" s="6"/>
      <c r="H14" s="6">
        <f>+H8*0.0256*0.21</f>
        <v>-93998.628863999998</v>
      </c>
      <c r="I14" s="6"/>
      <c r="J14" s="6">
        <f>+J8*0.0256*0.21</f>
        <v>-45776.639999999999</v>
      </c>
    </row>
    <row r="15" spans="2:11" x14ac:dyDescent="0.25">
      <c r="B15" s="10"/>
      <c r="C15" s="7"/>
      <c r="D15" s="7"/>
      <c r="E15" s="7"/>
      <c r="F15" s="7"/>
      <c r="G15" s="7"/>
      <c r="H15" s="7"/>
      <c r="I15" s="7"/>
      <c r="J15" s="7"/>
    </row>
    <row r="16" spans="2:11" x14ac:dyDescent="0.25">
      <c r="B16" s="10">
        <v>5</v>
      </c>
      <c r="C16" s="7" t="s">
        <v>72</v>
      </c>
      <c r="D16" s="7"/>
      <c r="E16" s="7"/>
      <c r="F16" s="7">
        <f>+F12-F14</f>
        <v>0</v>
      </c>
      <c r="G16" s="7"/>
      <c r="H16" s="7">
        <f>+H12-H14</f>
        <v>-1100217.5823359999</v>
      </c>
      <c r="I16" s="7"/>
      <c r="J16" s="7">
        <f>+J12-J14</f>
        <v>-535797.86</v>
      </c>
    </row>
    <row r="17" spans="2:10" x14ac:dyDescent="0.25">
      <c r="B17" s="10"/>
    </row>
    <row r="18" spans="2:10" x14ac:dyDescent="0.25">
      <c r="B18" s="10">
        <v>6</v>
      </c>
      <c r="C18" t="s">
        <v>73</v>
      </c>
      <c r="F18" s="13">
        <v>0.75322100000000003</v>
      </c>
      <c r="G18" s="13"/>
      <c r="H18" s="13">
        <f>+F18</f>
        <v>0.75322100000000003</v>
      </c>
      <c r="I18" s="13"/>
      <c r="J18" s="13">
        <f>+F18</f>
        <v>0.75322100000000003</v>
      </c>
    </row>
    <row r="19" spans="2:10" x14ac:dyDescent="0.25">
      <c r="B19" s="10"/>
    </row>
    <row r="20" spans="2:10" x14ac:dyDescent="0.25">
      <c r="B20" s="24">
        <v>7</v>
      </c>
      <c r="C20" s="23" t="s">
        <v>102</v>
      </c>
      <c r="D20" s="23"/>
      <c r="E20" s="23"/>
      <c r="F20" s="28">
        <f>+F16/F18</f>
        <v>0</v>
      </c>
      <c r="G20" s="28"/>
      <c r="H20" s="28">
        <f>+H16/H18</f>
        <v>-1460683.6271638735</v>
      </c>
      <c r="I20" s="28"/>
      <c r="J20" s="28">
        <f>+J16/J18</f>
        <v>-711342.16916416294</v>
      </c>
    </row>
    <row r="22" spans="2:10" ht="17.25" x14ac:dyDescent="0.4">
      <c r="B22" s="10">
        <v>8</v>
      </c>
      <c r="C22" t="s">
        <v>110</v>
      </c>
      <c r="F22" s="11">
        <f>+F20</f>
        <v>0</v>
      </c>
      <c r="G22" s="22"/>
      <c r="H22" s="11">
        <f>+H20+F22</f>
        <v>-1460683.6271638735</v>
      </c>
      <c r="I22" s="22"/>
      <c r="J22" s="11">
        <f>+J20+H22</f>
        <v>-2172025.7963280366</v>
      </c>
    </row>
    <row r="23" spans="2:10" ht="17.25" x14ac:dyDescent="0.4">
      <c r="B23" s="10"/>
      <c r="F23" s="11"/>
      <c r="G23" s="22"/>
      <c r="H23" s="11"/>
      <c r="I23" s="22"/>
      <c r="J23" s="11"/>
    </row>
    <row r="24" spans="2:10" ht="17.25" x14ac:dyDescent="0.4">
      <c r="B24" s="10"/>
      <c r="F24" s="11"/>
      <c r="G24" s="22"/>
      <c r="H24" s="11"/>
      <c r="I24" s="22"/>
      <c r="J24" s="11"/>
    </row>
    <row r="25" spans="2:10" x14ac:dyDescent="0.25">
      <c r="C25" t="s">
        <v>5</v>
      </c>
    </row>
    <row r="26" spans="2:10" x14ac:dyDescent="0.25">
      <c r="C26" t="s">
        <v>141</v>
      </c>
    </row>
    <row r="27" spans="2:10" x14ac:dyDescent="0.25">
      <c r="C27" t="s">
        <v>60</v>
      </c>
    </row>
    <row r="28" spans="2:10" x14ac:dyDescent="0.25">
      <c r="C28" t="s">
        <v>78</v>
      </c>
    </row>
    <row r="29" spans="2:10" x14ac:dyDescent="0.25">
      <c r="C29" t="s">
        <v>120</v>
      </c>
    </row>
    <row r="30" spans="2:10" x14ac:dyDescent="0.25">
      <c r="C30" t="s">
        <v>105</v>
      </c>
    </row>
    <row r="31" spans="2:10" x14ac:dyDescent="0.25">
      <c r="C31" t="s">
        <v>139</v>
      </c>
    </row>
    <row r="32" spans="2:10" x14ac:dyDescent="0.25">
      <c r="C32" t="s">
        <v>111</v>
      </c>
    </row>
    <row r="33" spans="3:3" x14ac:dyDescent="0.25">
      <c r="C33" t="s">
        <v>121</v>
      </c>
    </row>
  </sheetData>
  <pageMargins left="0.7" right="0.7" top="0.75" bottom="0.75" header="0.3" footer="0.3"/>
  <pageSetup scale="82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43AE99-4D72-483E-BBFF-D11D7B385FE5}"/>
</file>

<file path=customXml/itemProps2.xml><?xml version="1.0" encoding="utf-8"?>
<ds:datastoreItem xmlns:ds="http://schemas.openxmlformats.org/officeDocument/2006/customXml" ds:itemID="{2BAEEA29-7190-4499-A747-6081854EF06A}"/>
</file>

<file path=customXml/itemProps3.xml><?xml version="1.0" encoding="utf-8"?>
<ds:datastoreItem xmlns:ds="http://schemas.openxmlformats.org/officeDocument/2006/customXml" ds:itemID="{F911735B-8100-448A-BCDC-6FEE8FCA6E89}"/>
</file>

<file path=customXml/itemProps4.xml><?xml version="1.0" encoding="utf-8"?>
<ds:datastoreItem xmlns:ds="http://schemas.openxmlformats.org/officeDocument/2006/customXml" ds:itemID="{95BDED1C-DE43-441B-B992-D3CA79901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</vt:lpstr>
      <vt:lpstr>ROR</vt:lpstr>
      <vt:lpstr>Depreciation</vt:lpstr>
      <vt:lpstr>AMI</vt:lpstr>
      <vt:lpstr>AMI Amort</vt:lpstr>
      <vt:lpstr>Covid</vt:lpstr>
      <vt:lpstr>O&amp;M</vt:lpstr>
      <vt:lpstr>Programmatic</vt:lpstr>
      <vt:lpstr>Projected</vt:lpstr>
      <vt:lpstr>Specific</vt:lpstr>
      <vt:lpstr>Tacoma</vt:lpstr>
      <vt:lpstr>Tac Deferrals</vt:lpstr>
      <vt:lpstr>AMI!Print_Area</vt:lpstr>
      <vt:lpstr>'AMI Amort'!Print_Area</vt:lpstr>
      <vt:lpstr>Covid!Print_Area</vt:lpstr>
      <vt:lpstr>Depreciation!Print_Area</vt:lpstr>
      <vt:lpstr>'O&amp;M'!Print_Area</vt:lpstr>
      <vt:lpstr>Programmatic!Print_Area</vt:lpstr>
      <vt:lpstr>Projected!Print_Area</vt:lpstr>
      <vt:lpstr>ROR!Print_Area</vt:lpstr>
      <vt:lpstr>Specific!Print_Area</vt:lpstr>
      <vt:lpstr>Summary!Print_Area</vt:lpstr>
      <vt:lpstr>'Tac Deferrals'!Print_Area</vt:lpstr>
      <vt:lpstr>Tacoma!Print_Area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2022-07-11T21:22:10Z</cp:lastPrinted>
  <dcterms:created xsi:type="dcterms:W3CDTF">2022-07-06T14:01:59Z</dcterms:created>
  <dcterms:modified xsi:type="dcterms:W3CDTF">2022-07-14T21:37:50Z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