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shington\Puget Sound\"/>
    </mc:Choice>
  </mc:AlternateContent>
  <xr:revisionPtr revIDLastSave="0" documentId="13_ncr:1_{519E5641-A139-482D-A924-116D99DD7448}" xr6:coauthVersionLast="47" xr6:coauthVersionMax="47" xr10:uidLastSave="{00000000-0000-0000-0000-000000000000}"/>
  <bookViews>
    <workbookView xWindow="0" yWindow="600" windowWidth="28800" windowHeight="15600" activeTab="5" xr2:uid="{413A2BF8-A7F9-40A4-8B24-415B61D197E5}"/>
  </bookViews>
  <sheets>
    <sheet name="Summary" sheetId="3" r:id="rId1"/>
    <sheet name="ROR" sheetId="1" r:id="rId2"/>
    <sheet name="Depreciation" sheetId="6" r:id="rId3"/>
    <sheet name="AMI" sheetId="8" r:id="rId4"/>
    <sheet name="AMI Amort" sheetId="14" r:id="rId5"/>
    <sheet name="Covid" sheetId="5" r:id="rId6"/>
    <sheet name="O&amp;M" sheetId="10" r:id="rId7"/>
    <sheet name="Programmatic" sheetId="11" r:id="rId8"/>
    <sheet name="Projected" sheetId="13" r:id="rId9"/>
    <sheet name="Specific" sheetId="12" r:id="rId10"/>
    <sheet name="Margin" sheetId="4" r:id="rId11"/>
    <sheet name="Storms" sheetId="9" r:id="rId12"/>
  </sheets>
  <definedNames>
    <definedName name="_xlnm.Print_Area" localSheetId="3">AMI!$B$1:$J$34</definedName>
    <definedName name="_xlnm.Print_Area" localSheetId="4">'AMI Amort'!$A$1:$H$27</definedName>
    <definedName name="_xlnm.Print_Area" localSheetId="5">Covid!$A$1:$I$18</definedName>
    <definedName name="_xlnm.Print_Area" localSheetId="2">Depreciation!$A$1:$I$26</definedName>
    <definedName name="_xlnm.Print_Area" localSheetId="10">Margin!$B$1:$I$24</definedName>
    <definedName name="_xlnm.Print_Area" localSheetId="6">'O&amp;M'!$A$1:$I$25</definedName>
    <definedName name="_xlnm.Print_Area" localSheetId="7">Programmatic!$B$1:$K$32</definedName>
    <definedName name="_xlnm.Print_Area" localSheetId="8">Projected!$B$1:$L$34</definedName>
    <definedName name="_xlnm.Print_Area" localSheetId="1">ROR!$B$1:$H$29</definedName>
    <definedName name="_xlnm.Print_Area" localSheetId="9">Specific!$B$1:$K$34</definedName>
    <definedName name="_xlnm.Print_Area" localSheetId="11">Storms!$A$1:$I$35</definedName>
    <definedName name="_xlnm.Print_Area" localSheetId="0">Summary!$B$1:$I$52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6" l="1"/>
  <c r="J9" i="8"/>
  <c r="H9" i="8"/>
  <c r="F9" i="8"/>
  <c r="J14" i="12" l="1"/>
  <c r="H14" i="12"/>
  <c r="F14" i="12"/>
  <c r="J12" i="12"/>
  <c r="H12" i="12"/>
  <c r="F12" i="12"/>
  <c r="F16" i="12" s="1"/>
  <c r="F20" i="12" s="1"/>
  <c r="F22" i="12" s="1"/>
  <c r="E17" i="3" s="1"/>
  <c r="J14" i="13"/>
  <c r="H14" i="13"/>
  <c r="F14" i="13"/>
  <c r="J12" i="13"/>
  <c r="H12" i="13"/>
  <c r="F12" i="13"/>
  <c r="J16" i="12" l="1"/>
  <c r="J20" i="12" s="1"/>
  <c r="J16" i="13"/>
  <c r="J20" i="13" s="1"/>
  <c r="H16" i="12"/>
  <c r="H20" i="12" s="1"/>
  <c r="H22" i="12" s="1"/>
  <c r="G17" i="3" s="1"/>
  <c r="F16" i="13"/>
  <c r="F20" i="13" s="1"/>
  <c r="F22" i="13" s="1"/>
  <c r="E16" i="3" s="1"/>
  <c r="H16" i="13"/>
  <c r="H20" i="13" s="1"/>
  <c r="J22" i="12" l="1"/>
  <c r="I17" i="3" s="1"/>
  <c r="H22" i="13"/>
  <c r="J22" i="13" l="1"/>
  <c r="I16" i="3" s="1"/>
  <c r="G16" i="3"/>
  <c r="I19" i="3" l="1"/>
  <c r="G19" i="3"/>
  <c r="E19" i="3"/>
  <c r="H11" i="9"/>
  <c r="H15" i="9" s="1"/>
  <c r="F11" i="9"/>
  <c r="F15" i="9" s="1"/>
  <c r="F17" i="9" s="1"/>
  <c r="F19" i="9" s="1"/>
  <c r="F23" i="9" s="1"/>
  <c r="D11" i="9"/>
  <c r="D15" i="9" s="1"/>
  <c r="D17" i="9" s="1"/>
  <c r="D19" i="9" s="1"/>
  <c r="D23" i="9" s="1"/>
  <c r="E20" i="3" s="1"/>
  <c r="H17" i="9" l="1"/>
  <c r="H19" i="9" s="1"/>
  <c r="H23" i="9" s="1"/>
  <c r="I7" i="10" l="1"/>
  <c r="G7" i="10"/>
  <c r="E7" i="10"/>
  <c r="E10" i="5"/>
  <c r="E13" i="3" s="1"/>
  <c r="G7" i="5"/>
  <c r="I7" i="5" s="1"/>
  <c r="I10" i="5" s="1"/>
  <c r="I13" i="3" s="1"/>
  <c r="G10" i="5" l="1"/>
  <c r="G13" i="3" s="1"/>
  <c r="J8" i="8"/>
  <c r="H8" i="8"/>
  <c r="F8" i="8"/>
  <c r="F10" i="8" l="1"/>
  <c r="F13" i="8" s="1"/>
  <c r="H14" i="14"/>
  <c r="D10" i="14"/>
  <c r="H8" i="14"/>
  <c r="H10" i="14" s="1"/>
  <c r="F8" i="14"/>
  <c r="F10" i="14" l="1"/>
  <c r="F12" i="14" s="1"/>
  <c r="H12" i="14"/>
  <c r="H16" i="14" s="1"/>
  <c r="I12" i="3" s="1"/>
  <c r="F14" i="14"/>
  <c r="D12" i="14"/>
  <c r="D16" i="14" s="1"/>
  <c r="E12" i="3" s="1"/>
  <c r="F11" i="11"/>
  <c r="J7" i="8"/>
  <c r="H7" i="8"/>
  <c r="I9" i="10"/>
  <c r="I11" i="10" s="1"/>
  <c r="I15" i="10" s="1"/>
  <c r="I14" i="3" s="1"/>
  <c r="G9" i="10"/>
  <c r="E9" i="10"/>
  <c r="F16" i="14" l="1"/>
  <c r="G12" i="3" s="1"/>
  <c r="E11" i="10"/>
  <c r="E15" i="10" s="1"/>
  <c r="E14" i="3" s="1"/>
  <c r="G11" i="10"/>
  <c r="G15" i="10" s="1"/>
  <c r="G14" i="3" s="1"/>
  <c r="J10" i="8"/>
  <c r="J13" i="8" s="1"/>
  <c r="F13" i="11"/>
  <c r="F15" i="11" s="1"/>
  <c r="F19" i="11" s="1"/>
  <c r="F12" i="8"/>
  <c r="F21" i="11" l="1"/>
  <c r="E15" i="3" s="1"/>
  <c r="G20" i="3"/>
  <c r="I20" i="3"/>
  <c r="H10" i="8"/>
  <c r="H13" i="8" s="1"/>
  <c r="H11" i="11"/>
  <c r="H13" i="11"/>
  <c r="F14" i="8"/>
  <c r="F16" i="8" s="1"/>
  <c r="E11" i="3" s="1"/>
  <c r="H12" i="8" l="1"/>
  <c r="H14" i="8" s="1"/>
  <c r="H16" i="8" s="1"/>
  <c r="G11" i="3" s="1"/>
  <c r="J12" i="8"/>
  <c r="J14" i="8" s="1"/>
  <c r="J16" i="8" s="1"/>
  <c r="I11" i="3" s="1"/>
  <c r="J13" i="11"/>
  <c r="J11" i="11"/>
  <c r="H15" i="11"/>
  <c r="H19" i="11" s="1"/>
  <c r="H21" i="11" l="1"/>
  <c r="G15" i="3" s="1"/>
  <c r="J15" i="11"/>
  <c r="J19" i="11" s="1"/>
  <c r="H17" i="6"/>
  <c r="H11" i="6"/>
  <c r="H13" i="6" s="1"/>
  <c r="H15" i="6" s="1"/>
  <c r="I9" i="4"/>
  <c r="I11" i="4" s="1"/>
  <c r="G9" i="4"/>
  <c r="G11" i="4" s="1"/>
  <c r="E9" i="4"/>
  <c r="E11" i="4" s="1"/>
  <c r="H17" i="1"/>
  <c r="G17" i="1"/>
  <c r="H15" i="1"/>
  <c r="H19" i="1" s="1"/>
  <c r="I9" i="3" s="1"/>
  <c r="F15" i="1"/>
  <c r="F19" i="1" s="1"/>
  <c r="E9" i="3" s="1"/>
  <c r="H11" i="1"/>
  <c r="G11" i="1"/>
  <c r="G15" i="1" s="1"/>
  <c r="G19" i="1" s="1"/>
  <c r="G9" i="3" s="1"/>
  <c r="F11" i="1"/>
  <c r="J21" i="11" l="1"/>
  <c r="I15" i="3" s="1"/>
  <c r="E15" i="4"/>
  <c r="I15" i="4"/>
  <c r="G15" i="4"/>
  <c r="F17" i="6"/>
  <c r="H19" i="6"/>
  <c r="I10" i="3" s="1"/>
  <c r="F11" i="6"/>
  <c r="F13" i="6" s="1"/>
  <c r="F15" i="6" s="1"/>
  <c r="D13" i="6"/>
  <c r="D15" i="6" s="1"/>
  <c r="D19" i="6" s="1"/>
  <c r="E10" i="3" s="1"/>
  <c r="E22" i="3" s="1"/>
  <c r="F19" i="6" l="1"/>
  <c r="G10" i="3" s="1"/>
  <c r="G22" i="3" s="1"/>
  <c r="G26" i="3" s="1"/>
  <c r="E26" i="3"/>
  <c r="E28" i="3" s="1"/>
  <c r="I22" i="3"/>
  <c r="I26" i="3" s="1"/>
  <c r="E31" i="3" l="1"/>
  <c r="G30" i="3"/>
  <c r="G28" i="3"/>
  <c r="G31" i="3" s="1"/>
  <c r="I28" i="3"/>
  <c r="I30" i="3" l="1"/>
  <c r="I31" i="3" s="1"/>
</calcChain>
</file>

<file path=xl/sharedStrings.xml><?xml version="1.0" encoding="utf-8"?>
<sst xmlns="http://schemas.openxmlformats.org/spreadsheetml/2006/main" count="248" uniqueCount="149">
  <si>
    <t>Puget Sound Energy - Electric Revenue Requirement ($)</t>
  </si>
  <si>
    <t>COVID Deferral</t>
  </si>
  <si>
    <t>Page 1</t>
  </si>
  <si>
    <t>WUTC Filing Fee (A)</t>
  </si>
  <si>
    <t>Sources:</t>
  </si>
  <si>
    <t>Required Return Adjustment</t>
  </si>
  <si>
    <t>Puget Sound Energy - Electric</t>
  </si>
  <si>
    <t>Page 2</t>
  </si>
  <si>
    <t xml:space="preserve"> Rate Base Per Company (A)</t>
  </si>
  <si>
    <t>Operating Income (C)</t>
  </si>
  <si>
    <t>Operating Income Per Company (A)</t>
  </si>
  <si>
    <t>Recommended Adjustment (D)</t>
  </si>
  <si>
    <t>Revenue Conversion Factor (E)</t>
  </si>
  <si>
    <t>Recommended Adjustment (F)</t>
  </si>
  <si>
    <t>(A) Exhibit SEF-3, page 1.</t>
  </si>
  <si>
    <t>(C) Line 1 X Line 2.</t>
  </si>
  <si>
    <t>(D) Line 3 - Line 4.</t>
  </si>
  <si>
    <t>(F) Line 5 / Line 6.</t>
  </si>
  <si>
    <t>Required Return (B)</t>
  </si>
  <si>
    <t>Recommended Adjustment (A)</t>
  </si>
  <si>
    <t>Income Taxes @ 21% (B)</t>
  </si>
  <si>
    <t>Operating Income Impact (C)</t>
  </si>
  <si>
    <t>Revenue Conversion Factor (D)</t>
  </si>
  <si>
    <t>Revenue Requirement (E)</t>
  </si>
  <si>
    <t>(B) Line 1 X 21% Federal Income Tax Rate.</t>
  </si>
  <si>
    <t>(C) Line 1 - Line 2.</t>
  </si>
  <si>
    <t>(E) Line 3 / Line 4.</t>
  </si>
  <si>
    <t>Depreciation Rate Adjustment</t>
  </si>
  <si>
    <t>Page 3</t>
  </si>
  <si>
    <t>Depreciation Expense (C)</t>
  </si>
  <si>
    <t>Page 4</t>
  </si>
  <si>
    <t>Return on AMI Investment</t>
  </si>
  <si>
    <t>Return on AMI Investment (D)</t>
  </si>
  <si>
    <t>(A) Workpaper NEW-PSE-WP-6E-11G-AMI-Plant-Deferral-22GRC-01-2022.</t>
  </si>
  <si>
    <t>Plant Additions (B)</t>
  </si>
  <si>
    <t>Additions to Depreciation Reserve (C)</t>
  </si>
  <si>
    <t>Operating Income Impact (F)</t>
  </si>
  <si>
    <t>Interest Synchronization (G)</t>
  </si>
  <si>
    <t>Recommended Income Adjustment (H)</t>
  </si>
  <si>
    <t>Revenue Conversion Factor (I)</t>
  </si>
  <si>
    <t>Revenue Requirement (J)</t>
  </si>
  <si>
    <t>Beginning Gross Plant (A)</t>
  </si>
  <si>
    <t>(D) Line 1 + Line 2 + Line 3.</t>
  </si>
  <si>
    <t>Net Plant Adjustment (D)</t>
  </si>
  <si>
    <t xml:space="preserve">       Then assumes annual additions using Public Counsel's proposed depreciation rate of 5.56%, per </t>
  </si>
  <si>
    <t>(F) Line 4 X Line 5.</t>
  </si>
  <si>
    <t>(H) Line 6 - Line 7.</t>
  </si>
  <si>
    <t>(J) Line 8 / Line 9.</t>
  </si>
  <si>
    <t>(C) Includes beginning balance of Accumulated Depreciation of $36,317,803 + beginning balance</t>
  </si>
  <si>
    <t xml:space="preserve">       of ADIT of $15,024,314 per Workpaper NEW-PSE-WP-6E-11G-AMI-Plant-Deferral-01-2022.</t>
  </si>
  <si>
    <t xml:space="preserve">AMI Deferral Amortization </t>
  </si>
  <si>
    <t>Page 5</t>
  </si>
  <si>
    <t xml:space="preserve">Revenue Requiremet w/ updated </t>
  </si>
  <si>
    <t>(A) Exhibit SEF-13, page 2.</t>
  </si>
  <si>
    <t xml:space="preserve">Revenue Requirement Per Company (A) </t>
  </si>
  <si>
    <t>Revenue Conversion Factor (B)</t>
  </si>
  <si>
    <t>(B) Line 1 X Original Revenue Conversion Factor of 0.752355 / Revised Revenue Conversion</t>
  </si>
  <si>
    <t>Page 6</t>
  </si>
  <si>
    <t>Projected Operating and Maintenance Costs</t>
  </si>
  <si>
    <t>Page 7</t>
  </si>
  <si>
    <t>(A) Reflects 50% of Incremental A&amp;G O&amp;M Per Workpaper NEW-PSE-WP-SEF-6E-11G-OM-</t>
  </si>
  <si>
    <t xml:space="preserve">      22GRC-01-2022, Incremental_E worksheet.</t>
  </si>
  <si>
    <t>(B) Exhibit JRW-3.</t>
  </si>
  <si>
    <t>(E) Exhibit JRW-3.</t>
  </si>
  <si>
    <t>Page 11</t>
  </si>
  <si>
    <t>Pro Forma Revenue - Net Margin Adjustment</t>
  </si>
  <si>
    <t xml:space="preserve">Storm Deferral Amortization </t>
  </si>
  <si>
    <t>Page 12</t>
  </si>
  <si>
    <t>Additional Deferral (A)</t>
  </si>
  <si>
    <t>Recommended Amortization Period (B)</t>
  </si>
  <si>
    <t>Recommended Annual Expense (C)</t>
  </si>
  <si>
    <t>AMI Deferral Amortization (E)</t>
  </si>
  <si>
    <t>COVID Deferral (F)</t>
  </si>
  <si>
    <t>Projected O&amp;M (G)</t>
  </si>
  <si>
    <t>Power Costs (K)</t>
  </si>
  <si>
    <t>Pro Forma Revenues (L)</t>
  </si>
  <si>
    <t>Storm Amortization (M)</t>
  </si>
  <si>
    <t>Total Adjustments (N)</t>
  </si>
  <si>
    <t>Company Claimed Increase (O)</t>
  </si>
  <si>
    <t>Public Counsel Recommendation (P)</t>
  </si>
  <si>
    <t>Annual Change (Q)</t>
  </si>
  <si>
    <t>Total Revenues (R)</t>
  </si>
  <si>
    <t>Percentage Changen (S)</t>
  </si>
  <si>
    <t>(K) Confidential - amount not included in Total Adjustments.</t>
  </si>
  <si>
    <t>(A) Workpaper NEW-PSE-WP-SEF-6E-StormDamageAmort-22GRC-01-2022, Storm Amortization Worksheet.</t>
  </si>
  <si>
    <t>(B) Recommendation of Ms. Crane.</t>
  </si>
  <si>
    <t>(C) Line 1 / Line 2.</t>
  </si>
  <si>
    <t>Company Claim (A)</t>
  </si>
  <si>
    <t>Income Taxes @ 21% (E)</t>
  </si>
  <si>
    <t>Revenue Conversion Factor (G)</t>
  </si>
  <si>
    <t>Revenue Requirement (H)</t>
  </si>
  <si>
    <t>(E) Line 5 X 21% Federal Income Tax Rate.</t>
  </si>
  <si>
    <t>Recommended Adjustment (E)</t>
  </si>
  <si>
    <t>Revenue Conversion Factor (F)</t>
  </si>
  <si>
    <t>(C) Line 4 X Line 5.</t>
  </si>
  <si>
    <t>(G) Line 4 X recommended weighted cost of debt of 2.56% per Exhibit JRW-3 X federal income rate of 21%.</t>
  </si>
  <si>
    <t>(N) Sum of Lines 1-13.</t>
  </si>
  <si>
    <t>(O) Exhibit SEF-3, page 1.</t>
  </si>
  <si>
    <t>(P) Line 14 + Line 15.</t>
  </si>
  <si>
    <t>(Q) Line 16 - Prior Year Line 16.</t>
  </si>
  <si>
    <t>(S) Line 17 / Line 18.</t>
  </si>
  <si>
    <t>(R) 2023 Amount per Exhibit SEF-3, page 1.  2024 and 2025 reflect prior MYRP increases.</t>
  </si>
  <si>
    <t>Interest Synchronization (D)</t>
  </si>
  <si>
    <t>Revenue Requirement (G)</t>
  </si>
  <si>
    <t xml:space="preserve">Programmatic Investment </t>
  </si>
  <si>
    <t>Page 8</t>
  </si>
  <si>
    <t>(E) Line 3 - Line 4.</t>
  </si>
  <si>
    <t xml:space="preserve">Projected Investment </t>
  </si>
  <si>
    <t>Page 9</t>
  </si>
  <si>
    <t>Specific Investments</t>
  </si>
  <si>
    <t>Page 10</t>
  </si>
  <si>
    <t>Cumulative Revenue Requirement (H)</t>
  </si>
  <si>
    <t>(G) Line 5 / Line 6.</t>
  </si>
  <si>
    <t>Programmatic Investment (H)</t>
  </si>
  <si>
    <t>Projected Investment (I)</t>
  </si>
  <si>
    <t>Specific  Investment (J)</t>
  </si>
  <si>
    <t>-</t>
  </si>
  <si>
    <t>Recommended Rate of Return (B)</t>
  </si>
  <si>
    <t>Recommended Rate of Return (E)</t>
  </si>
  <si>
    <t>(D) Line 1 X recommended weighted cost of debt of 2.56% per Exhibit JRW-3 X federal income rate of 21%.</t>
  </si>
  <si>
    <t>(H) Includes Revenue Requirement Adjustment for current year, plus all prior years of the MYRP.</t>
  </si>
  <si>
    <t>(F) Line 5 - Line 6.</t>
  </si>
  <si>
    <t>(H) Line 7 / Line 8.</t>
  </si>
  <si>
    <t xml:space="preserve">       Exhibit DJG-4, and half-year convention for plant added each year.</t>
  </si>
  <si>
    <t>(B) Workpaper NEW-PSE-WP-6E-11G-ProvProforma-22GRC-01-2022, Calc Program Gross Plant worksheet.</t>
  </si>
  <si>
    <t>(A) Exhibit DJG-4.  Reflects allocation of common plant based on 65.94% to electric and 34.06% to gas.</t>
  </si>
  <si>
    <t>Exhibit ACC-4</t>
  </si>
  <si>
    <t>(B) Exhibit ACC-4, page 2.</t>
  </si>
  <si>
    <t>(C) Exhibit ACC-4, page 3.</t>
  </si>
  <si>
    <t>(D) Exhibit ACC-4, page 4.</t>
  </si>
  <si>
    <t>(E) Exhibit ACC-4, page 5.</t>
  </si>
  <si>
    <t>(F) Exhibit ACC-4, page 6.</t>
  </si>
  <si>
    <t>(G) Exhibit ACC-4, page 7.</t>
  </si>
  <si>
    <t>(H) Exhibit ACC-4, page 8.</t>
  </si>
  <si>
    <t>(I) Exhibit ACC-4, page 9.</t>
  </si>
  <si>
    <t>(J) Exhibit ACC-4, page 10.</t>
  </si>
  <si>
    <t>(L) Exhibit ACC-4, page 11.</t>
  </si>
  <si>
    <t>(M) Exhibit ACC-4, page 12.</t>
  </si>
  <si>
    <t>(A) Exhibit ACC-3, Puget Sound Energy response to WUTC-99, Exhibit SEF-3, page 3.</t>
  </si>
  <si>
    <t>(D) Exhibit ACC-3, Puget Sound Energy response to WUTC-99, Exhibit SEF-3, page 3.</t>
  </si>
  <si>
    <t>(E) Exhibit ACC-3, Puget Sound Energy response to WUTC-99, Exhibit SEF-3, page 3.</t>
  </si>
  <si>
    <t>(I) Exhibit ACC-3, Puget Sound Energy response to WUTC-99, Exhibit SEF-3, page 3.</t>
  </si>
  <si>
    <t>(F) Exhibit ACC-3, Puget Sound Energy response to WUTC-99, Exhibit SEF-3, page 3.</t>
  </si>
  <si>
    <t>(A) Exhibit ACC-18, Workpaper - Crane Plant Adjustments, page 1.</t>
  </si>
  <si>
    <t>(A) Exhibit ACC-18, Workpaper - Crane Plant Adjustments, page 2.</t>
  </si>
  <si>
    <t>(A) Exhibit ACC-18, Workpaper - Crane Plant Adjustments, page 3.</t>
  </si>
  <si>
    <t>(A) Exhibit GAW-1T, Table 12.</t>
  </si>
  <si>
    <t>(G) Exhibit ACC-3, Puget Sound Energy response to WUTC-99, Exhibit SEF-3, page 3.</t>
  </si>
  <si>
    <t xml:space="preserve">      Factor of 0.752355, per Exhibit ACC-3.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</si>
</sst>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164" formatCode="&quot;$&quot;#,##0"/>
    <numFmt numFmtId="165" formatCode="#."/>
    <numFmt numFmtId="166" formatCode="#,##0.000000_);\(#,##0.000000\)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37" fontId="0" fillId="0" borderId="0" xfId="0" applyNumberFormat="1"/>
    <xf numFmtId="0" fontId="1" fillId="0" borderId="0" xfId="0" applyFont="1" applyAlignment="1">
      <alignment horizontal="center"/>
    </xf>
    <xf numFmtId="37" fontId="0" fillId="0" borderId="1" xfId="0" applyNumberFormat="1" applyBorder="1"/>
    <xf numFmtId="5" fontId="0" fillId="0" borderId="0" xfId="0" applyNumberFormat="1"/>
    <xf numFmtId="37" fontId="0" fillId="0" borderId="0" xfId="0" applyNumberFormat="1" applyBorder="1"/>
    <xf numFmtId="37" fontId="0" fillId="0" borderId="0" xfId="0" applyNumberFormat="1" applyAlignment="1">
      <alignment horizontal="center"/>
    </xf>
    <xf numFmtId="165" fontId="0" fillId="0" borderId="0" xfId="0" applyNumberFormat="1"/>
    <xf numFmtId="42" fontId="3" fillId="0" borderId="0" xfId="0" applyNumberFormat="1" applyFont="1"/>
    <xf numFmtId="5" fontId="3" fillId="0" borderId="0" xfId="0" applyNumberFormat="1" applyFont="1"/>
    <xf numFmtId="10" fontId="0" fillId="0" borderId="1" xfId="0" applyNumberFormat="1" applyBorder="1"/>
    <xf numFmtId="3" fontId="0" fillId="0" borderId="1" xfId="0" applyNumberFormat="1" applyBorder="1"/>
    <xf numFmtId="0" fontId="0" fillId="0" borderId="1" xfId="0" applyBorder="1"/>
    <xf numFmtId="5" fontId="3" fillId="0" borderId="0" xfId="0" applyNumberFormat="1" applyFont="1" applyBorder="1"/>
    <xf numFmtId="166" fontId="0" fillId="0" borderId="0" xfId="0" applyNumberFormat="1"/>
    <xf numFmtId="166" fontId="0" fillId="0" borderId="1" xfId="0" applyNumberFormat="1" applyBorder="1"/>
    <xf numFmtId="0" fontId="0" fillId="0" borderId="0" xfId="0" applyAlignment="1">
      <alignment horizontal="center"/>
    </xf>
    <xf numFmtId="5" fontId="3" fillId="0" borderId="0" xfId="0" applyNumberFormat="1" applyFont="1" applyAlignment="1"/>
    <xf numFmtId="0" fontId="2" fillId="0" borderId="0" xfId="0" applyFont="1"/>
    <xf numFmtId="37" fontId="2" fillId="0" borderId="0" xfId="0" applyNumberFormat="1" applyFont="1"/>
    <xf numFmtId="37" fontId="3" fillId="0" borderId="0" xfId="0" applyNumberFormat="1" applyFont="1" applyAlignment="1"/>
    <xf numFmtId="164" fontId="3" fillId="0" borderId="0" xfId="0" applyNumberFormat="1" applyFont="1"/>
    <xf numFmtId="0" fontId="3" fillId="0" borderId="0" xfId="0" applyFont="1"/>
    <xf numFmtId="37" fontId="0" fillId="0" borderId="0" xfId="0" applyNumberFormat="1" applyFont="1"/>
    <xf numFmtId="5" fontId="0" fillId="0" borderId="0" xfId="0" applyNumberFormat="1" applyFont="1" applyAlignment="1"/>
    <xf numFmtId="37" fontId="0" fillId="0" borderId="0" xfId="0" applyNumberFormat="1" applyFont="1" applyAlignment="1"/>
    <xf numFmtId="5" fontId="0" fillId="0" borderId="0" xfId="0" applyNumberFormat="1" applyFont="1"/>
    <xf numFmtId="0" fontId="0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35EE-C6AB-4DB9-8BC4-650B4E9333FA}">
  <sheetPr>
    <pageSetUpPr fitToPage="1"/>
  </sheetPr>
  <dimension ref="B1:L52"/>
  <sheetViews>
    <sheetView topLeftCell="A19" workbookViewId="0">
      <selection activeCell="C34" sqref="C34"/>
    </sheetView>
  </sheetViews>
  <sheetFormatPr defaultRowHeight="15" x14ac:dyDescent="0.25"/>
  <cols>
    <col min="3" max="3" width="24.7109375" customWidth="1"/>
    <col min="4" max="4" width="10.7109375" customWidth="1"/>
    <col min="5" max="5" width="14.5703125" bestFit="1" customWidth="1"/>
    <col min="6" max="6" width="4.7109375" customWidth="1"/>
    <col min="7" max="7" width="14.5703125" bestFit="1" customWidth="1"/>
    <col min="8" max="8" width="4.7109375" customWidth="1"/>
    <col min="9" max="9" width="14.5703125" bestFit="1" customWidth="1"/>
  </cols>
  <sheetData>
    <row r="1" spans="2:12" x14ac:dyDescent="0.25">
      <c r="B1" s="21"/>
      <c r="C1" s="21"/>
      <c r="D1" s="21"/>
      <c r="E1" s="21"/>
      <c r="F1" s="21"/>
      <c r="G1" s="21"/>
      <c r="H1" s="21"/>
      <c r="I1" s="21" t="s">
        <v>126</v>
      </c>
      <c r="J1" s="21"/>
      <c r="K1" s="21"/>
    </row>
    <row r="2" spans="2:12" x14ac:dyDescent="0.25">
      <c r="B2" s="21"/>
      <c r="C2" s="21"/>
      <c r="D2" s="21"/>
      <c r="E2" s="21"/>
      <c r="F2" s="21"/>
      <c r="G2" s="21"/>
      <c r="H2" s="21"/>
      <c r="I2" s="21" t="s">
        <v>2</v>
      </c>
      <c r="J2" s="21"/>
      <c r="K2" s="21"/>
    </row>
    <row r="3" spans="2:12" ht="23.25" x14ac:dyDescent="0.35">
      <c r="B3" s="21"/>
      <c r="C3" s="31" t="s">
        <v>0</v>
      </c>
      <c r="D3" s="31"/>
      <c r="E3" s="31"/>
      <c r="F3" s="31"/>
      <c r="G3" s="31"/>
      <c r="H3" s="31"/>
      <c r="I3" s="31"/>
      <c r="J3" s="31"/>
      <c r="K3" s="31"/>
    </row>
    <row r="4" spans="2:12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2:12" x14ac:dyDescent="0.25">
      <c r="E6" s="5">
        <v>2023</v>
      </c>
      <c r="F6" s="5"/>
      <c r="G6" s="5">
        <v>2024</v>
      </c>
      <c r="H6" s="5"/>
      <c r="I6" s="5">
        <v>2025</v>
      </c>
      <c r="J6" s="5"/>
      <c r="K6" s="5"/>
    </row>
    <row r="8" spans="2:12" x14ac:dyDescent="0.25">
      <c r="B8" s="10">
        <v>1</v>
      </c>
      <c r="C8" t="s">
        <v>3</v>
      </c>
      <c r="E8" s="7">
        <v>5200000</v>
      </c>
      <c r="F8" s="7"/>
      <c r="G8" s="7">
        <v>5400000</v>
      </c>
      <c r="H8" s="7"/>
      <c r="I8" s="7">
        <v>5400000</v>
      </c>
      <c r="J8" s="7"/>
      <c r="K8" s="10"/>
      <c r="L8" s="1"/>
    </row>
    <row r="9" spans="2:12" x14ac:dyDescent="0.25">
      <c r="B9" s="10">
        <v>2</v>
      </c>
      <c r="C9" t="s">
        <v>18</v>
      </c>
      <c r="E9" s="4">
        <f>+ROR!F19</f>
        <v>-42210804.291698612</v>
      </c>
      <c r="F9" s="4"/>
      <c r="G9" s="4">
        <f>+ROR!G19</f>
        <v>-48979533.799074262</v>
      </c>
      <c r="H9" s="4"/>
      <c r="I9" s="4">
        <f>+ROR!H19</f>
        <v>-56622886.810296066</v>
      </c>
      <c r="J9" s="4"/>
      <c r="K9" s="10"/>
      <c r="L9" s="1"/>
    </row>
    <row r="10" spans="2:12" x14ac:dyDescent="0.25">
      <c r="B10" s="10">
        <v>3</v>
      </c>
      <c r="C10" t="s">
        <v>29</v>
      </c>
      <c r="E10" s="4">
        <f>+Depreciation!D19</f>
        <v>-18849615.138642069</v>
      </c>
      <c r="F10" s="4"/>
      <c r="G10" s="4">
        <f>+Depreciation!F19</f>
        <v>-18849615.138642069</v>
      </c>
      <c r="H10" s="4"/>
      <c r="I10" s="4">
        <f>+Depreciation!H19</f>
        <v>-18849615.138642069</v>
      </c>
      <c r="J10" s="4"/>
      <c r="K10" s="10"/>
      <c r="L10" s="1"/>
    </row>
    <row r="11" spans="2:12" x14ac:dyDescent="0.25">
      <c r="B11" s="10">
        <v>4</v>
      </c>
      <c r="C11" t="s">
        <v>32</v>
      </c>
      <c r="E11" s="4">
        <f>AMI!F16</f>
        <v>-13762141.552554261</v>
      </c>
      <c r="F11" s="4"/>
      <c r="G11" s="4">
        <f>AMI!H16</f>
        <v>-20922758.676506337</v>
      </c>
      <c r="H11" s="4"/>
      <c r="I11" s="4">
        <f>AMI!J16</f>
        <v>-19707539.63596705</v>
      </c>
      <c r="J11" s="4"/>
      <c r="K11" s="10"/>
      <c r="L11" s="1"/>
    </row>
    <row r="12" spans="2:12" x14ac:dyDescent="0.25">
      <c r="B12" s="10">
        <v>5</v>
      </c>
      <c r="C12" t="s">
        <v>71</v>
      </c>
      <c r="E12" s="4">
        <f>'AMI Amort'!D16</f>
        <v>-8780239.5657820255</v>
      </c>
      <c r="F12" s="4"/>
      <c r="G12" s="4">
        <f>'AMI Amort'!F16</f>
        <v>-8780239.5657820255</v>
      </c>
      <c r="H12" s="4"/>
      <c r="I12" s="4">
        <f>'AMI Amort'!H16</f>
        <v>-8780239.5657820255</v>
      </c>
      <c r="J12" s="4"/>
      <c r="K12" s="10"/>
      <c r="L12" s="1"/>
    </row>
    <row r="13" spans="2:12" x14ac:dyDescent="0.25">
      <c r="B13" s="10">
        <v>6</v>
      </c>
      <c r="C13" t="s">
        <v>72</v>
      </c>
      <c r="E13" s="4">
        <f>+Covid!E10</f>
        <v>-1064062.6085578236</v>
      </c>
      <c r="F13" s="4"/>
      <c r="G13" s="4">
        <f>+Covid!G10</f>
        <v>-984475.46980120533</v>
      </c>
      <c r="H13" s="4"/>
      <c r="I13" s="4">
        <f>+Covid!I10</f>
        <v>125300.13936931836</v>
      </c>
      <c r="J13" s="4"/>
      <c r="K13" s="10"/>
      <c r="L13" s="1"/>
    </row>
    <row r="14" spans="2:12" x14ac:dyDescent="0.25">
      <c r="B14" s="10">
        <v>7</v>
      </c>
      <c r="C14" t="s">
        <v>73</v>
      </c>
      <c r="E14" s="4">
        <f>'O&amp;M'!E15</f>
        <v>-18870221.317971431</v>
      </c>
      <c r="F14" s="4"/>
      <c r="G14" s="4">
        <f>'O&amp;M'!G15</f>
        <v>-20540223.602277648</v>
      </c>
      <c r="H14" s="4"/>
      <c r="I14" s="4">
        <f>'O&amp;M'!I15</f>
        <v>-24693856.35509973</v>
      </c>
      <c r="J14" s="4"/>
      <c r="K14" s="10"/>
      <c r="L14" s="1"/>
    </row>
    <row r="15" spans="2:12" x14ac:dyDescent="0.25">
      <c r="B15" s="10">
        <v>8</v>
      </c>
      <c r="C15" t="s">
        <v>113</v>
      </c>
      <c r="E15" s="4">
        <f>+Programmatic!F21</f>
        <v>0</v>
      </c>
      <c r="F15" s="4"/>
      <c r="G15" s="4">
        <f>Programmatic!H21</f>
        <v>-14330423.942443475</v>
      </c>
      <c r="H15" s="4"/>
      <c r="I15" s="4">
        <f>Programmatic!J21</f>
        <v>-33729262.247155279</v>
      </c>
      <c r="J15" s="4"/>
      <c r="K15" s="10"/>
      <c r="L15" s="1"/>
    </row>
    <row r="16" spans="2:12" x14ac:dyDescent="0.25">
      <c r="B16" s="10">
        <v>9</v>
      </c>
      <c r="C16" t="s">
        <v>114</v>
      </c>
      <c r="E16" s="8">
        <f>+Projected!F22</f>
        <v>0</v>
      </c>
      <c r="F16" s="8"/>
      <c r="G16" s="8">
        <f>+Projected!H22</f>
        <v>-4395007.3338670041</v>
      </c>
      <c r="H16" s="8"/>
      <c r="I16" s="8">
        <f>+Projected!J22</f>
        <v>-5527953.6290952684</v>
      </c>
      <c r="J16" s="4"/>
      <c r="K16" s="10"/>
      <c r="L16" s="1"/>
    </row>
    <row r="17" spans="2:12" x14ac:dyDescent="0.25">
      <c r="B17" s="10">
        <v>10</v>
      </c>
      <c r="C17" t="s">
        <v>115</v>
      </c>
      <c r="E17" s="4">
        <f>+Specific!F22</f>
        <v>0</v>
      </c>
      <c r="F17" s="4"/>
      <c r="G17" s="4">
        <f>+Specific!H22</f>
        <v>-333594.63152076188</v>
      </c>
      <c r="H17" s="4"/>
      <c r="I17" s="4">
        <f>+Specific!J22</f>
        <v>-3770608.3185028806</v>
      </c>
      <c r="J17" s="4"/>
      <c r="K17" s="10"/>
      <c r="L17" s="1"/>
    </row>
    <row r="18" spans="2:12" x14ac:dyDescent="0.25">
      <c r="B18" s="10">
        <v>11</v>
      </c>
      <c r="C18" t="s">
        <v>74</v>
      </c>
      <c r="E18" s="9" t="s">
        <v>116</v>
      </c>
      <c r="F18" s="9"/>
      <c r="G18" s="9" t="s">
        <v>116</v>
      </c>
      <c r="H18" s="9"/>
      <c r="I18" s="9" t="s">
        <v>116</v>
      </c>
      <c r="J18" s="4"/>
      <c r="K18" s="10"/>
      <c r="L18" s="1"/>
    </row>
    <row r="19" spans="2:12" x14ac:dyDescent="0.25">
      <c r="B19" s="10">
        <v>12</v>
      </c>
      <c r="C19" t="s">
        <v>75</v>
      </c>
      <c r="E19" s="4">
        <f>Margin!E15</f>
        <v>-13326371.655955512</v>
      </c>
      <c r="F19" s="4"/>
      <c r="G19" s="4">
        <f>Margin!G15</f>
        <v>-13044860.0712597</v>
      </c>
      <c r="H19" s="4"/>
      <c r="I19" s="4">
        <f>Margin!I15</f>
        <v>-16579904.751756519</v>
      </c>
      <c r="J19" s="4"/>
      <c r="K19" s="10"/>
      <c r="L19" s="1"/>
    </row>
    <row r="20" spans="2:12" x14ac:dyDescent="0.25">
      <c r="B20" s="10">
        <v>13</v>
      </c>
      <c r="C20" t="s">
        <v>76</v>
      </c>
      <c r="E20" s="6">
        <f>+Storms!D23</f>
        <v>-2609287.477606474</v>
      </c>
      <c r="F20" s="6"/>
      <c r="G20" s="6">
        <f>+E20</f>
        <v>-2609287.477606474</v>
      </c>
      <c r="H20" s="6"/>
      <c r="I20" s="6">
        <f>+E20</f>
        <v>-2609287.477606474</v>
      </c>
      <c r="J20" s="8"/>
      <c r="L20" s="1"/>
    </row>
    <row r="21" spans="2:12" x14ac:dyDescent="0.25">
      <c r="B21" s="10"/>
      <c r="J21" s="4"/>
      <c r="K21" s="10"/>
      <c r="L21" s="1"/>
    </row>
    <row r="22" spans="2:12" x14ac:dyDescent="0.25">
      <c r="B22" s="10">
        <v>14</v>
      </c>
      <c r="C22" t="s">
        <v>77</v>
      </c>
      <c r="E22" s="7">
        <f>SUM(E8:E20)</f>
        <v>-114272743.60876821</v>
      </c>
      <c r="F22" s="7"/>
      <c r="G22" s="7">
        <f t="shared" ref="G22:I22" si="0">SUM(G8:G20)</f>
        <v>-148370019.70878097</v>
      </c>
      <c r="H22" s="7"/>
      <c r="I22" s="7">
        <f t="shared" si="0"/>
        <v>-185345853.79053402</v>
      </c>
      <c r="J22" s="4"/>
      <c r="K22" s="10"/>
      <c r="L22" s="1"/>
    </row>
    <row r="23" spans="2:12" x14ac:dyDescent="0.25">
      <c r="B23" s="10"/>
      <c r="E23" s="4"/>
      <c r="F23" s="4"/>
      <c r="G23" s="4"/>
      <c r="H23" s="4"/>
      <c r="I23" s="4"/>
      <c r="J23" s="4"/>
      <c r="K23" s="10"/>
      <c r="L23" s="1"/>
    </row>
    <row r="24" spans="2:12" x14ac:dyDescent="0.25">
      <c r="B24" s="10">
        <v>15</v>
      </c>
      <c r="C24" t="s">
        <v>78</v>
      </c>
      <c r="E24" s="6">
        <v>330013401</v>
      </c>
      <c r="F24" s="6"/>
      <c r="G24" s="6">
        <v>392679559</v>
      </c>
      <c r="H24" s="6"/>
      <c r="I24" s="6">
        <v>402865299</v>
      </c>
      <c r="J24" s="4"/>
      <c r="K24" s="10"/>
      <c r="L24" s="1"/>
    </row>
    <row r="25" spans="2:12" x14ac:dyDescent="0.25">
      <c r="B25" s="10"/>
      <c r="E25" s="4"/>
      <c r="F25" s="4"/>
      <c r="G25" s="4"/>
      <c r="H25" s="4"/>
      <c r="I25" s="4"/>
      <c r="J25" s="4"/>
      <c r="K25" s="10"/>
    </row>
    <row r="26" spans="2:12" x14ac:dyDescent="0.25">
      <c r="B26" s="10">
        <v>16</v>
      </c>
      <c r="C26" t="s">
        <v>79</v>
      </c>
      <c r="E26" s="7">
        <f>+E22+E24</f>
        <v>215740657.39123178</v>
      </c>
      <c r="F26" s="7"/>
      <c r="G26" s="7">
        <f>+G22+G24</f>
        <v>244309539.29121903</v>
      </c>
      <c r="H26" s="7"/>
      <c r="I26" s="7">
        <f>+I22+I24</f>
        <v>217519445.20946598</v>
      </c>
      <c r="J26" s="4"/>
      <c r="K26" s="10"/>
    </row>
    <row r="27" spans="2:12" x14ac:dyDescent="0.25">
      <c r="B27" s="10"/>
      <c r="E27" s="7"/>
      <c r="F27" s="7"/>
      <c r="G27" s="7"/>
      <c r="H27" s="7"/>
      <c r="I27" s="7"/>
      <c r="J27" s="4"/>
      <c r="K27" s="10"/>
    </row>
    <row r="28" spans="2:12" ht="17.25" x14ac:dyDescent="0.4">
      <c r="B28" s="10">
        <v>17</v>
      </c>
      <c r="C28" t="s">
        <v>80</v>
      </c>
      <c r="E28" s="11">
        <f>+E26</f>
        <v>215740657.39123178</v>
      </c>
      <c r="F28" s="11"/>
      <c r="G28" s="11">
        <f>+G26-E26</f>
        <v>28568881.899987251</v>
      </c>
      <c r="H28" s="11"/>
      <c r="I28" s="11">
        <f>+I26-G26</f>
        <v>-26790094.081753045</v>
      </c>
      <c r="J28" s="4"/>
      <c r="K28" s="10"/>
    </row>
    <row r="29" spans="2:12" x14ac:dyDescent="0.25">
      <c r="B29" s="10"/>
      <c r="E29" s="7"/>
      <c r="F29" s="7"/>
      <c r="G29" s="7"/>
      <c r="H29" s="7"/>
      <c r="I29" s="7"/>
      <c r="J29" s="4"/>
      <c r="K29" s="10"/>
    </row>
    <row r="30" spans="2:12" x14ac:dyDescent="0.25">
      <c r="B30" s="10">
        <v>18</v>
      </c>
      <c r="C30" t="s">
        <v>81</v>
      </c>
      <c r="E30" s="7">
        <v>2284477373</v>
      </c>
      <c r="F30" s="7"/>
      <c r="G30" s="7">
        <f>+E30+E26</f>
        <v>2500218030.3912315</v>
      </c>
      <c r="H30" s="7"/>
      <c r="I30" s="7">
        <f>+G30+G28</f>
        <v>2528786912.2912188</v>
      </c>
      <c r="J30" s="4"/>
      <c r="K30" s="10"/>
    </row>
    <row r="31" spans="2:12" x14ac:dyDescent="0.25">
      <c r="B31" s="10">
        <v>19</v>
      </c>
      <c r="C31" t="s">
        <v>82</v>
      </c>
      <c r="E31" s="2">
        <f>+E26/E30</f>
        <v>9.4437642473962802E-2</v>
      </c>
      <c r="G31" s="2">
        <f>+G28/G30</f>
        <v>1.1426556225385201E-2</v>
      </c>
      <c r="H31" s="2"/>
      <c r="I31" s="2">
        <f>+I28/I30</f>
        <v>-1.0594049641564999E-2</v>
      </c>
      <c r="J31" s="4"/>
      <c r="K31" s="10"/>
    </row>
    <row r="32" spans="2:12" x14ac:dyDescent="0.25">
      <c r="B32" s="10"/>
      <c r="J32" s="4"/>
      <c r="K32" s="10"/>
    </row>
    <row r="33" spans="2:11" x14ac:dyDescent="0.25">
      <c r="B33" s="10"/>
      <c r="C33" t="s">
        <v>4</v>
      </c>
      <c r="K33" s="4"/>
    </row>
    <row r="34" spans="2:11" x14ac:dyDescent="0.25">
      <c r="C34" t="s">
        <v>138</v>
      </c>
    </row>
    <row r="35" spans="2:11" x14ac:dyDescent="0.25">
      <c r="C35" t="s">
        <v>127</v>
      </c>
    </row>
    <row r="36" spans="2:11" x14ac:dyDescent="0.25">
      <c r="C36" t="s">
        <v>128</v>
      </c>
    </row>
    <row r="37" spans="2:11" x14ac:dyDescent="0.25">
      <c r="C37" t="s">
        <v>129</v>
      </c>
    </row>
    <row r="38" spans="2:11" x14ac:dyDescent="0.25">
      <c r="C38" t="s">
        <v>130</v>
      </c>
    </row>
    <row r="39" spans="2:11" x14ac:dyDescent="0.25">
      <c r="C39" t="s">
        <v>131</v>
      </c>
    </row>
    <row r="40" spans="2:11" x14ac:dyDescent="0.25">
      <c r="C40" t="s">
        <v>132</v>
      </c>
    </row>
    <row r="41" spans="2:11" x14ac:dyDescent="0.25">
      <c r="C41" t="s">
        <v>133</v>
      </c>
    </row>
    <row r="42" spans="2:11" x14ac:dyDescent="0.25">
      <c r="C42" t="s">
        <v>134</v>
      </c>
    </row>
    <row r="43" spans="2:11" x14ac:dyDescent="0.25">
      <c r="C43" t="s">
        <v>135</v>
      </c>
    </row>
    <row r="44" spans="2:11" x14ac:dyDescent="0.25">
      <c r="C44" t="s">
        <v>83</v>
      </c>
    </row>
    <row r="45" spans="2:11" x14ac:dyDescent="0.25">
      <c r="C45" t="s">
        <v>136</v>
      </c>
    </row>
    <row r="46" spans="2:11" x14ac:dyDescent="0.25">
      <c r="C46" t="s">
        <v>137</v>
      </c>
    </row>
    <row r="47" spans="2:11" x14ac:dyDescent="0.25">
      <c r="C47" t="s">
        <v>96</v>
      </c>
    </row>
    <row r="48" spans="2:11" x14ac:dyDescent="0.25">
      <c r="C48" t="s">
        <v>97</v>
      </c>
    </row>
    <row r="49" spans="3:3" x14ac:dyDescent="0.25">
      <c r="C49" t="s">
        <v>98</v>
      </c>
    </row>
    <row r="50" spans="3:3" x14ac:dyDescent="0.25">
      <c r="C50" t="s">
        <v>99</v>
      </c>
    </row>
    <row r="51" spans="3:3" x14ac:dyDescent="0.25">
      <c r="C51" t="s">
        <v>101</v>
      </c>
    </row>
    <row r="52" spans="3:3" x14ac:dyDescent="0.25">
      <c r="C52" t="s">
        <v>100</v>
      </c>
    </row>
  </sheetData>
  <pageMargins left="0.7" right="0.7" top="0.75" bottom="0.75" header="0.3" footer="0.3"/>
  <pageSetup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4C36-4CAD-4CAF-85D9-C8EBF95C2CA6}">
  <sheetPr>
    <pageSetUpPr fitToPage="1"/>
  </sheetPr>
  <dimension ref="B1:K33"/>
  <sheetViews>
    <sheetView workbookViewId="0">
      <selection activeCell="C31" sqref="C31"/>
    </sheetView>
  </sheetViews>
  <sheetFormatPr defaultRowHeight="15" x14ac:dyDescent="0.25"/>
  <cols>
    <col min="3" max="3" width="20.7109375" customWidth="1"/>
    <col min="6" max="6" width="12.7109375" customWidth="1"/>
    <col min="7" max="7" width="5.7109375" customWidth="1"/>
    <col min="8" max="8" width="11.5703125" bestFit="1" customWidth="1"/>
    <col min="9" max="9" width="5.7109375" customWidth="1"/>
    <col min="10" max="10" width="12.5703125" bestFit="1" customWidth="1"/>
  </cols>
  <sheetData>
    <row r="1" spans="2:11" x14ac:dyDescent="0.25">
      <c r="C1" s="21"/>
      <c r="D1" s="21"/>
      <c r="E1" s="21"/>
      <c r="F1" s="21"/>
      <c r="G1" s="21"/>
      <c r="H1" s="21"/>
      <c r="I1" s="21"/>
      <c r="J1" s="21"/>
      <c r="K1" s="21"/>
    </row>
    <row r="2" spans="2:11" x14ac:dyDescent="0.25">
      <c r="C2" s="21"/>
      <c r="D2" s="21"/>
      <c r="E2" s="21"/>
      <c r="F2" s="21"/>
      <c r="G2" s="21"/>
      <c r="H2" s="21"/>
      <c r="I2" s="21"/>
      <c r="J2" s="21" t="s">
        <v>126</v>
      </c>
      <c r="K2" s="21"/>
    </row>
    <row r="3" spans="2:11" x14ac:dyDescent="0.25">
      <c r="C3" s="21" t="s">
        <v>6</v>
      </c>
      <c r="D3" s="21"/>
      <c r="E3" s="21"/>
      <c r="F3" s="21"/>
      <c r="G3" s="21"/>
      <c r="H3" s="21"/>
      <c r="I3" s="21"/>
      <c r="J3" s="21" t="s">
        <v>110</v>
      </c>
      <c r="K3" s="21"/>
    </row>
    <row r="4" spans="2:11" x14ac:dyDescent="0.25">
      <c r="C4" s="21" t="s">
        <v>109</v>
      </c>
      <c r="D4" s="21"/>
      <c r="E4" s="21"/>
      <c r="F4" s="21"/>
      <c r="G4" s="21"/>
      <c r="H4" s="21"/>
      <c r="I4" s="21"/>
      <c r="J4" s="21"/>
      <c r="K4" s="21"/>
    </row>
    <row r="6" spans="2:11" x14ac:dyDescent="0.25">
      <c r="F6" s="5">
        <v>2023</v>
      </c>
      <c r="G6" s="5"/>
      <c r="H6" s="5">
        <v>2024</v>
      </c>
      <c r="I6" s="5"/>
      <c r="J6" s="5">
        <v>2025</v>
      </c>
      <c r="K6" s="5"/>
    </row>
    <row r="8" spans="2:11" x14ac:dyDescent="0.25">
      <c r="B8" s="10">
        <v>1</v>
      </c>
      <c r="C8" t="s">
        <v>19</v>
      </c>
      <c r="F8" s="7">
        <v>0</v>
      </c>
      <c r="G8" s="7"/>
      <c r="H8" s="7">
        <v>-3980270</v>
      </c>
      <c r="I8" s="7"/>
      <c r="J8" s="7">
        <v>-41008581</v>
      </c>
      <c r="K8" s="7"/>
    </row>
    <row r="9" spans="2:11" x14ac:dyDescent="0.25">
      <c r="B9" s="10"/>
      <c r="F9" s="1"/>
    </row>
    <row r="10" spans="2:11" x14ac:dyDescent="0.25">
      <c r="B10" s="10">
        <v>2</v>
      </c>
      <c r="C10" t="s">
        <v>117</v>
      </c>
      <c r="F10" s="13">
        <v>6.83E-2</v>
      </c>
      <c r="G10" s="15"/>
      <c r="H10" s="13">
        <v>6.83E-2</v>
      </c>
      <c r="I10" s="15"/>
      <c r="J10" s="13">
        <v>6.83E-2</v>
      </c>
    </row>
    <row r="11" spans="2:11" x14ac:dyDescent="0.25">
      <c r="B11" s="10"/>
      <c r="F11" s="1"/>
      <c r="H11" s="1"/>
      <c r="J11" s="1"/>
    </row>
    <row r="12" spans="2:11" x14ac:dyDescent="0.25">
      <c r="B12" s="10">
        <v>3</v>
      </c>
      <c r="C12" t="s">
        <v>9</v>
      </c>
      <c r="F12" s="7">
        <f>+F8*F10</f>
        <v>0</v>
      </c>
      <c r="G12" s="7"/>
      <c r="H12" s="7">
        <f>+H8*H10</f>
        <v>-271852.44099999999</v>
      </c>
      <c r="I12" s="7"/>
      <c r="J12" s="7">
        <f>+J8*J10</f>
        <v>-2800886.0822999999</v>
      </c>
      <c r="K12" s="7"/>
    </row>
    <row r="13" spans="2:11" x14ac:dyDescent="0.25">
      <c r="B13" s="10"/>
      <c r="F13" s="7"/>
      <c r="G13" s="7"/>
      <c r="H13" s="7"/>
      <c r="I13" s="7"/>
      <c r="J13" s="7"/>
      <c r="K13" s="7"/>
    </row>
    <row r="14" spans="2:11" x14ac:dyDescent="0.25">
      <c r="B14" s="10">
        <v>4</v>
      </c>
      <c r="C14" t="s">
        <v>102</v>
      </c>
      <c r="F14" s="6">
        <f>+F8*0.0256*0.21</f>
        <v>0</v>
      </c>
      <c r="G14" s="6"/>
      <c r="H14" s="6">
        <f>+H8*0.0256*0.21</f>
        <v>-21397.931520000002</v>
      </c>
      <c r="I14" s="6"/>
      <c r="J14" s="6">
        <f>+J8*0.0256*0.21</f>
        <v>-220462.131456</v>
      </c>
      <c r="K14" s="4"/>
    </row>
    <row r="15" spans="2:11" x14ac:dyDescent="0.25">
      <c r="B15" s="10"/>
      <c r="F15" s="7"/>
      <c r="G15" s="7"/>
      <c r="H15" s="7"/>
      <c r="I15" s="7"/>
      <c r="J15" s="7"/>
      <c r="K15" s="7"/>
    </row>
    <row r="16" spans="2:11" x14ac:dyDescent="0.25">
      <c r="B16" s="10">
        <v>5</v>
      </c>
      <c r="C16" t="s">
        <v>92</v>
      </c>
      <c r="F16" s="7">
        <f>+F12-F14</f>
        <v>0</v>
      </c>
      <c r="G16" s="7"/>
      <c r="H16" s="7">
        <f>+H12-H14</f>
        <v>-250454.50947999998</v>
      </c>
      <c r="I16" s="7"/>
      <c r="J16" s="7">
        <f>+J12-J14</f>
        <v>-2580423.9508440001</v>
      </c>
      <c r="K16" s="7"/>
    </row>
    <row r="17" spans="2:11" x14ac:dyDescent="0.25">
      <c r="B17" s="10"/>
    </row>
    <row r="18" spans="2:11" x14ac:dyDescent="0.25">
      <c r="B18" s="10">
        <v>6</v>
      </c>
      <c r="C18" t="s">
        <v>93</v>
      </c>
      <c r="F18" s="15">
        <v>0.75077499999999997</v>
      </c>
      <c r="G18" s="15"/>
      <c r="H18" s="15">
        <v>0.75077499999999997</v>
      </c>
      <c r="I18" s="15"/>
      <c r="J18" s="15">
        <v>0.75077499999999997</v>
      </c>
    </row>
    <row r="19" spans="2:11" x14ac:dyDescent="0.25">
      <c r="B19" s="10"/>
    </row>
    <row r="20" spans="2:11" x14ac:dyDescent="0.25">
      <c r="B20" s="10">
        <v>7</v>
      </c>
      <c r="C20" t="s">
        <v>103</v>
      </c>
      <c r="F20" s="27">
        <f>+F16/F18</f>
        <v>0</v>
      </c>
      <c r="G20" s="27"/>
      <c r="H20" s="27">
        <f>+H16/H18</f>
        <v>-333594.63152076188</v>
      </c>
      <c r="I20" s="27"/>
      <c r="J20" s="27">
        <f>+J16/J18</f>
        <v>-3437013.6869821185</v>
      </c>
      <c r="K20" s="28"/>
    </row>
    <row r="22" spans="2:11" ht="17.25" x14ac:dyDescent="0.4">
      <c r="B22" s="10">
        <v>8</v>
      </c>
      <c r="C22" t="s">
        <v>111</v>
      </c>
      <c r="F22" s="12">
        <f>+F20</f>
        <v>0</v>
      </c>
      <c r="G22" s="25"/>
      <c r="H22" s="12">
        <f>+H20+F22</f>
        <v>-333594.63152076188</v>
      </c>
      <c r="I22" s="25"/>
      <c r="J22" s="12">
        <f>+J20+H22</f>
        <v>-3770608.3185028806</v>
      </c>
    </row>
    <row r="23" spans="2:11" x14ac:dyDescent="0.25">
      <c r="B23" s="10"/>
    </row>
    <row r="24" spans="2:11" x14ac:dyDescent="0.25">
      <c r="B24" s="10"/>
    </row>
    <row r="25" spans="2:11" x14ac:dyDescent="0.25">
      <c r="C25" t="s">
        <v>4</v>
      </c>
    </row>
    <row r="26" spans="2:11" x14ac:dyDescent="0.25">
      <c r="C26" t="s">
        <v>145</v>
      </c>
    </row>
    <row r="27" spans="2:11" x14ac:dyDescent="0.25">
      <c r="C27" t="s">
        <v>62</v>
      </c>
    </row>
    <row r="28" spans="2:11" x14ac:dyDescent="0.25">
      <c r="C28" t="s">
        <v>94</v>
      </c>
    </row>
    <row r="29" spans="2:11" x14ac:dyDescent="0.25">
      <c r="C29" t="s">
        <v>119</v>
      </c>
    </row>
    <row r="30" spans="2:11" x14ac:dyDescent="0.25">
      <c r="C30" t="s">
        <v>106</v>
      </c>
    </row>
    <row r="31" spans="2:11" x14ac:dyDescent="0.25">
      <c r="C31" t="s">
        <v>142</v>
      </c>
    </row>
    <row r="32" spans="2:11" x14ac:dyDescent="0.25">
      <c r="C32" t="s">
        <v>112</v>
      </c>
    </row>
    <row r="33" spans="3:3" x14ac:dyDescent="0.25">
      <c r="C33" t="s">
        <v>120</v>
      </c>
    </row>
  </sheetData>
  <pageMargins left="0.7" right="0.7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7716-CFF0-4E27-BF05-993A85BA64B9}">
  <dimension ref="B1:K23"/>
  <sheetViews>
    <sheetView workbookViewId="0">
      <selection activeCell="C22" sqref="C22"/>
    </sheetView>
  </sheetViews>
  <sheetFormatPr defaultRowHeight="15" x14ac:dyDescent="0.25"/>
  <cols>
    <col min="3" max="3" width="20.7109375" customWidth="1"/>
    <col min="5" max="5" width="12.5703125" bestFit="1" customWidth="1"/>
    <col min="6" max="6" width="5.7109375" customWidth="1"/>
    <col min="7" max="7" width="12.5703125" bestFit="1" customWidth="1"/>
    <col min="8" max="8" width="5.7109375" customWidth="1"/>
    <col min="9" max="9" width="12.5703125" bestFit="1" customWidth="1"/>
  </cols>
  <sheetData>
    <row r="1" spans="2:11" x14ac:dyDescent="0.25">
      <c r="C1" s="21"/>
      <c r="D1" s="21"/>
      <c r="E1" s="21"/>
      <c r="F1" s="21"/>
      <c r="G1" s="21"/>
      <c r="H1" s="21"/>
      <c r="I1" s="21" t="s">
        <v>126</v>
      </c>
    </row>
    <row r="2" spans="2:11" x14ac:dyDescent="0.25">
      <c r="C2" s="21" t="s">
        <v>6</v>
      </c>
      <c r="D2" s="21"/>
      <c r="E2" s="21"/>
      <c r="F2" s="21"/>
      <c r="G2" s="21"/>
      <c r="H2" s="21"/>
      <c r="I2" s="21" t="s">
        <v>64</v>
      </c>
    </row>
    <row r="3" spans="2:11" x14ac:dyDescent="0.25">
      <c r="C3" s="21" t="s">
        <v>65</v>
      </c>
      <c r="D3" s="21"/>
      <c r="E3" s="21"/>
      <c r="F3" s="21"/>
      <c r="G3" s="21"/>
      <c r="H3" s="21"/>
      <c r="I3" s="21"/>
    </row>
    <row r="4" spans="2:11" x14ac:dyDescent="0.25">
      <c r="C4" s="21"/>
      <c r="D4" s="21"/>
      <c r="E4" s="21"/>
      <c r="F4" s="21"/>
      <c r="G4" s="21"/>
      <c r="H4" s="21"/>
      <c r="I4" s="21"/>
    </row>
    <row r="5" spans="2:11" x14ac:dyDescent="0.25">
      <c r="E5" s="5">
        <v>2023</v>
      </c>
      <c r="F5" s="5"/>
      <c r="G5" s="5">
        <v>2024</v>
      </c>
      <c r="H5" s="5"/>
      <c r="I5" s="5">
        <v>2025</v>
      </c>
    </row>
    <row r="7" spans="2:11" x14ac:dyDescent="0.25">
      <c r="B7" s="10">
        <v>1</v>
      </c>
      <c r="C7" t="s">
        <v>19</v>
      </c>
      <c r="E7" s="7">
        <v>-12664692</v>
      </c>
      <c r="F7" s="7"/>
      <c r="G7" s="7">
        <v>-12397158</v>
      </c>
      <c r="H7" s="7"/>
      <c r="I7" s="7">
        <v>-15756681</v>
      </c>
      <c r="J7" s="4"/>
      <c r="K7" s="4"/>
    </row>
    <row r="8" spans="2:11" x14ac:dyDescent="0.25">
      <c r="B8" s="10"/>
      <c r="E8" s="7"/>
      <c r="F8" s="7"/>
      <c r="G8" s="7"/>
      <c r="H8" s="7"/>
      <c r="I8" s="7"/>
      <c r="J8" s="4"/>
      <c r="K8" s="4"/>
    </row>
    <row r="9" spans="2:11" x14ac:dyDescent="0.25">
      <c r="B9" s="10">
        <v>2</v>
      </c>
      <c r="C9" t="s">
        <v>20</v>
      </c>
      <c r="E9" s="6">
        <f>0.21*E7</f>
        <v>-2659585.3199999998</v>
      </c>
      <c r="F9" s="6"/>
      <c r="G9" s="6">
        <f t="shared" ref="G9:I9" si="0">0.21*G7</f>
        <v>-2603403.1799999997</v>
      </c>
      <c r="H9" s="6"/>
      <c r="I9" s="6">
        <f t="shared" si="0"/>
        <v>-3308903.01</v>
      </c>
      <c r="J9" s="4"/>
      <c r="K9" s="4"/>
    </row>
    <row r="10" spans="2:11" x14ac:dyDescent="0.25">
      <c r="B10" s="10"/>
      <c r="E10" s="4"/>
      <c r="F10" s="4"/>
      <c r="G10" s="4"/>
      <c r="H10" s="4"/>
      <c r="I10" s="4"/>
      <c r="J10" s="4"/>
      <c r="K10" s="4"/>
    </row>
    <row r="11" spans="2:11" x14ac:dyDescent="0.25">
      <c r="B11" s="10">
        <v>3</v>
      </c>
      <c r="C11" t="s">
        <v>21</v>
      </c>
      <c r="E11" s="7">
        <f>+E7-E9</f>
        <v>-10005106.68</v>
      </c>
      <c r="F11" s="7"/>
      <c r="G11" s="7">
        <f t="shared" ref="G11:I11" si="1">+G7-G9</f>
        <v>-9793754.8200000003</v>
      </c>
      <c r="H11" s="7"/>
      <c r="I11" s="7">
        <f t="shared" si="1"/>
        <v>-12447777.99</v>
      </c>
      <c r="J11" s="4"/>
      <c r="K11" s="4"/>
    </row>
    <row r="12" spans="2:11" x14ac:dyDescent="0.25">
      <c r="B12" s="10"/>
      <c r="E12" s="4"/>
      <c r="F12" s="4"/>
      <c r="G12" s="4"/>
      <c r="H12" s="4"/>
      <c r="I12" s="4"/>
      <c r="J12" s="4"/>
      <c r="K12" s="4"/>
    </row>
    <row r="13" spans="2:11" x14ac:dyDescent="0.25">
      <c r="B13" s="10">
        <v>4</v>
      </c>
      <c r="C13" t="s">
        <v>22</v>
      </c>
      <c r="E13" s="18">
        <v>0.75077499999999997</v>
      </c>
      <c r="F13" s="18"/>
      <c r="G13" s="18">
        <v>0.75077499999999997</v>
      </c>
      <c r="H13" s="18"/>
      <c r="I13" s="18">
        <v>0.75077499999999997</v>
      </c>
      <c r="J13" s="4"/>
      <c r="K13" s="4"/>
    </row>
    <row r="14" spans="2:11" x14ac:dyDescent="0.25">
      <c r="B14" s="10"/>
      <c r="E14" s="4"/>
      <c r="F14" s="4"/>
      <c r="G14" s="4"/>
      <c r="H14" s="4"/>
      <c r="I14" s="4"/>
      <c r="J14" s="4"/>
      <c r="K14" s="4"/>
    </row>
    <row r="15" spans="2:11" ht="17.25" x14ac:dyDescent="0.4">
      <c r="B15" s="10">
        <v>5</v>
      </c>
      <c r="C15" t="s">
        <v>23</v>
      </c>
      <c r="E15" s="20">
        <f>+E11/E13</f>
        <v>-13326371.655955512</v>
      </c>
      <c r="F15" s="20"/>
      <c r="G15" s="20">
        <f t="shared" ref="G15:I15" si="2">+G11/G13</f>
        <v>-13044860.0712597</v>
      </c>
      <c r="H15" s="20"/>
      <c r="I15" s="20">
        <f t="shared" si="2"/>
        <v>-16579904.751756519</v>
      </c>
      <c r="J15" s="4"/>
      <c r="K15" s="4"/>
    </row>
    <row r="16" spans="2:11" x14ac:dyDescent="0.25">
      <c r="E16" s="4"/>
      <c r="F16" s="4"/>
      <c r="G16" s="4"/>
      <c r="H16" s="4"/>
      <c r="I16" s="4"/>
      <c r="J16" s="4"/>
      <c r="K16" s="4"/>
    </row>
    <row r="17" spans="3:11" x14ac:dyDescent="0.25">
      <c r="E17" s="4"/>
      <c r="F17" s="4"/>
      <c r="G17" s="4"/>
      <c r="H17" s="4"/>
      <c r="I17" s="4"/>
      <c r="J17" s="4"/>
      <c r="K17" s="4"/>
    </row>
    <row r="18" spans="3:11" x14ac:dyDescent="0.25">
      <c r="C18" t="s">
        <v>4</v>
      </c>
    </row>
    <row r="19" spans="3:11" x14ac:dyDescent="0.25">
      <c r="C19" t="s">
        <v>146</v>
      </c>
    </row>
    <row r="20" spans="3:11" x14ac:dyDescent="0.25">
      <c r="C20" t="s">
        <v>24</v>
      </c>
    </row>
    <row r="21" spans="3:11" x14ac:dyDescent="0.25">
      <c r="C21" t="s">
        <v>25</v>
      </c>
    </row>
    <row r="22" spans="3:11" x14ac:dyDescent="0.25">
      <c r="C22" t="s">
        <v>139</v>
      </c>
    </row>
    <row r="23" spans="3:11" x14ac:dyDescent="0.25">
      <c r="C23" t="s">
        <v>26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11EAD-F6FD-42C6-8026-E33734C9D3A2}">
  <sheetPr>
    <pageSetUpPr fitToPage="1"/>
  </sheetPr>
  <dimension ref="A1:I34"/>
  <sheetViews>
    <sheetView workbookViewId="0">
      <selection activeCell="B33" sqref="B33"/>
    </sheetView>
  </sheetViews>
  <sheetFormatPr defaultRowHeight="15" x14ac:dyDescent="0.25"/>
  <cols>
    <col min="2" max="2" width="26.7109375" customWidth="1"/>
    <col min="4" max="4" width="12.5703125" bestFit="1" customWidth="1"/>
    <col min="5" max="5" width="5.7109375" customWidth="1"/>
    <col min="6" max="6" width="12.5703125" bestFit="1" customWidth="1"/>
    <col min="7" max="7" width="5.7109375" customWidth="1"/>
    <col min="8" max="8" width="12.5703125" bestFit="1" customWidth="1"/>
  </cols>
  <sheetData>
    <row r="1" spans="1:9" x14ac:dyDescent="0.25">
      <c r="B1" s="21"/>
      <c r="C1" s="21"/>
      <c r="D1" s="21"/>
      <c r="E1" s="21"/>
      <c r="F1" s="21"/>
      <c r="G1" s="21"/>
      <c r="H1" s="21" t="s">
        <v>126</v>
      </c>
    </row>
    <row r="2" spans="1:9" x14ac:dyDescent="0.25">
      <c r="B2" s="21" t="s">
        <v>6</v>
      </c>
      <c r="C2" s="21"/>
      <c r="D2" s="21"/>
      <c r="E2" s="21"/>
      <c r="F2" s="21"/>
      <c r="G2" s="21"/>
      <c r="H2" s="21" t="s">
        <v>67</v>
      </c>
    </row>
    <row r="3" spans="1:9" x14ac:dyDescent="0.25">
      <c r="B3" s="21" t="s">
        <v>66</v>
      </c>
      <c r="C3" s="21"/>
      <c r="D3" s="21"/>
      <c r="E3" s="21"/>
      <c r="F3" s="21"/>
      <c r="G3" s="21"/>
      <c r="H3" s="21"/>
    </row>
    <row r="4" spans="1:9" x14ac:dyDescent="0.25">
      <c r="B4" s="21"/>
      <c r="C4" s="21"/>
      <c r="D4" s="21"/>
      <c r="E4" s="21"/>
      <c r="F4" s="21"/>
      <c r="G4" s="21"/>
      <c r="H4" s="21"/>
    </row>
    <row r="5" spans="1:9" x14ac:dyDescent="0.25">
      <c r="D5" s="5">
        <v>2023</v>
      </c>
      <c r="E5" s="5"/>
      <c r="F5" s="5">
        <v>2024</v>
      </c>
      <c r="G5" s="5"/>
      <c r="H5" s="5">
        <v>2025</v>
      </c>
    </row>
    <row r="7" spans="1:9" x14ac:dyDescent="0.25">
      <c r="A7" s="10">
        <v>1</v>
      </c>
      <c r="B7" t="s">
        <v>68</v>
      </c>
      <c r="D7" s="7">
        <v>49594633</v>
      </c>
      <c r="E7" s="7"/>
      <c r="F7" s="7">
        <v>49594633</v>
      </c>
      <c r="G7" s="7"/>
      <c r="H7" s="7">
        <v>49594633</v>
      </c>
      <c r="I7" s="7"/>
    </row>
    <row r="8" spans="1:9" x14ac:dyDescent="0.25">
      <c r="A8" s="10"/>
      <c r="D8" s="7"/>
      <c r="E8" s="7"/>
      <c r="F8" s="7"/>
      <c r="G8" s="7"/>
      <c r="H8" s="7"/>
      <c r="I8" s="7"/>
    </row>
    <row r="9" spans="1:9" x14ac:dyDescent="0.25">
      <c r="A9" s="10">
        <v>2</v>
      </c>
      <c r="B9" t="s">
        <v>69</v>
      </c>
      <c r="D9" s="6">
        <v>5</v>
      </c>
      <c r="E9" s="6"/>
      <c r="F9" s="6">
        <v>5</v>
      </c>
      <c r="G9" s="6"/>
      <c r="H9" s="6">
        <v>5</v>
      </c>
      <c r="I9" s="7"/>
    </row>
    <row r="10" spans="1:9" x14ac:dyDescent="0.25">
      <c r="A10" s="10"/>
      <c r="D10" s="7"/>
      <c r="E10" s="7"/>
      <c r="F10" s="7"/>
      <c r="G10" s="7"/>
      <c r="H10" s="7"/>
      <c r="I10" s="7"/>
    </row>
    <row r="11" spans="1:9" x14ac:dyDescent="0.25">
      <c r="A11" s="10">
        <v>3</v>
      </c>
      <c r="B11" t="s">
        <v>70</v>
      </c>
      <c r="D11" s="7">
        <f>+D7/D9</f>
        <v>9918926.5999999996</v>
      </c>
      <c r="E11" s="7"/>
      <c r="F11" s="7">
        <f t="shared" ref="F11:H11" si="0">+F7/F9</f>
        <v>9918926.5999999996</v>
      </c>
      <c r="G11" s="7"/>
      <c r="H11" s="7">
        <f t="shared" si="0"/>
        <v>9918926.5999999996</v>
      </c>
      <c r="I11" s="7"/>
    </row>
    <row r="12" spans="1:9" x14ac:dyDescent="0.25">
      <c r="A12" s="10"/>
      <c r="D12" s="7"/>
      <c r="E12" s="7"/>
      <c r="F12" s="7"/>
      <c r="G12" s="7"/>
      <c r="H12" s="7"/>
      <c r="I12" s="7"/>
    </row>
    <row r="13" spans="1:9" x14ac:dyDescent="0.25">
      <c r="A13" s="10">
        <v>4</v>
      </c>
      <c r="B13" t="s">
        <v>87</v>
      </c>
      <c r="D13" s="6">
        <v>12398658</v>
      </c>
      <c r="E13" s="6"/>
      <c r="F13" s="6">
        <v>12398658</v>
      </c>
      <c r="G13" s="6"/>
      <c r="H13" s="6">
        <v>12398658</v>
      </c>
      <c r="I13" s="7"/>
    </row>
    <row r="14" spans="1:9" x14ac:dyDescent="0.25">
      <c r="A14" s="10"/>
      <c r="D14" s="7"/>
      <c r="E14" s="7"/>
      <c r="F14" s="7"/>
      <c r="G14" s="7"/>
      <c r="H14" s="7"/>
      <c r="I14" s="7"/>
    </row>
    <row r="15" spans="1:9" x14ac:dyDescent="0.25">
      <c r="A15" s="10">
        <v>5</v>
      </c>
      <c r="B15" t="s">
        <v>11</v>
      </c>
      <c r="D15" s="7">
        <f>+D11-D13</f>
        <v>-2479731.4000000004</v>
      </c>
      <c r="E15" s="7"/>
      <c r="F15" s="7">
        <f>+F11-F13</f>
        <v>-2479731.4000000004</v>
      </c>
      <c r="G15" s="7"/>
      <c r="H15" s="7">
        <f>+H11-H13</f>
        <v>-2479731.4000000004</v>
      </c>
      <c r="I15" s="7"/>
    </row>
    <row r="16" spans="1:9" x14ac:dyDescent="0.25">
      <c r="A16" s="10"/>
      <c r="D16" s="7"/>
      <c r="E16" s="7"/>
      <c r="F16" s="7"/>
      <c r="G16" s="7"/>
      <c r="H16" s="7"/>
      <c r="I16" s="7"/>
    </row>
    <row r="17" spans="1:9" x14ac:dyDescent="0.25">
      <c r="A17" s="10">
        <v>6</v>
      </c>
      <c r="B17" t="s">
        <v>88</v>
      </c>
      <c r="D17" s="6">
        <f>0.21*D15</f>
        <v>-520743.59400000004</v>
      </c>
      <c r="E17" s="6"/>
      <c r="F17" s="6">
        <f t="shared" ref="F17:H17" si="1">0.21*F15</f>
        <v>-520743.59400000004</v>
      </c>
      <c r="G17" s="6"/>
      <c r="H17" s="6">
        <f t="shared" si="1"/>
        <v>-520743.59400000004</v>
      </c>
      <c r="I17" s="7"/>
    </row>
    <row r="18" spans="1:9" x14ac:dyDescent="0.25">
      <c r="A18" s="10"/>
      <c r="D18" s="4"/>
      <c r="E18" s="4"/>
      <c r="F18" s="4"/>
      <c r="G18" s="4"/>
      <c r="H18" s="4"/>
    </row>
    <row r="19" spans="1:9" x14ac:dyDescent="0.25">
      <c r="A19" s="10">
        <v>7</v>
      </c>
      <c r="B19" t="s">
        <v>36</v>
      </c>
      <c r="D19" s="7">
        <f>+D15-D17</f>
        <v>-1958987.8060000003</v>
      </c>
      <c r="E19" s="7"/>
      <c r="F19" s="7">
        <f t="shared" ref="F19:H19" si="2">+F15-F17</f>
        <v>-1958987.8060000003</v>
      </c>
      <c r="G19" s="7"/>
      <c r="H19" s="7">
        <f t="shared" si="2"/>
        <v>-1958987.8060000003</v>
      </c>
    </row>
    <row r="20" spans="1:9" x14ac:dyDescent="0.25">
      <c r="A20" s="10"/>
      <c r="D20" s="4"/>
      <c r="E20" s="4"/>
      <c r="F20" s="4"/>
      <c r="G20" s="4"/>
      <c r="H20" s="4"/>
    </row>
    <row r="21" spans="1:9" x14ac:dyDescent="0.25">
      <c r="A21" s="10">
        <v>8</v>
      </c>
      <c r="B21" t="s">
        <v>89</v>
      </c>
      <c r="D21" s="18">
        <v>0.75077499999999997</v>
      </c>
      <c r="E21" s="18"/>
      <c r="F21" s="18">
        <v>0.75077499999999997</v>
      </c>
      <c r="G21" s="18"/>
      <c r="H21" s="18">
        <v>0.75077499999999997</v>
      </c>
    </row>
    <row r="22" spans="1:9" x14ac:dyDescent="0.25">
      <c r="A22" s="10"/>
      <c r="D22" s="4"/>
      <c r="E22" s="4"/>
      <c r="F22" s="4"/>
      <c r="G22" s="4"/>
      <c r="H22" s="4"/>
    </row>
    <row r="23" spans="1:9" ht="17.25" x14ac:dyDescent="0.4">
      <c r="A23" s="10">
        <v>9</v>
      </c>
      <c r="B23" t="s">
        <v>90</v>
      </c>
      <c r="D23" s="20">
        <f>+D19/D21</f>
        <v>-2609287.477606474</v>
      </c>
      <c r="E23" s="20"/>
      <c r="F23" s="20">
        <f t="shared" ref="F23:H23" si="3">+F19/F21</f>
        <v>-2609287.477606474</v>
      </c>
      <c r="G23" s="20"/>
      <c r="H23" s="20">
        <f t="shared" si="3"/>
        <v>-2609287.477606474</v>
      </c>
    </row>
    <row r="24" spans="1:9" x14ac:dyDescent="0.25">
      <c r="A24" s="10"/>
      <c r="D24" s="4"/>
      <c r="E24" s="4"/>
      <c r="F24" s="4"/>
      <c r="G24" s="4"/>
      <c r="H24" s="4"/>
    </row>
    <row r="25" spans="1:9" x14ac:dyDescent="0.25">
      <c r="D25" s="4"/>
      <c r="E25" s="4"/>
      <c r="F25" s="4"/>
      <c r="G25" s="4"/>
      <c r="H25" s="4"/>
    </row>
    <row r="26" spans="1:9" x14ac:dyDescent="0.25">
      <c r="B26" t="s">
        <v>4</v>
      </c>
    </row>
    <row r="27" spans="1:9" x14ac:dyDescent="0.25">
      <c r="B27" t="s">
        <v>84</v>
      </c>
    </row>
    <row r="28" spans="1:9" x14ac:dyDescent="0.25">
      <c r="B28" t="s">
        <v>85</v>
      </c>
    </row>
    <row r="29" spans="1:9" x14ac:dyDescent="0.25">
      <c r="B29" t="s">
        <v>86</v>
      </c>
    </row>
    <row r="30" spans="1:9" x14ac:dyDescent="0.25">
      <c r="B30" t="s">
        <v>16</v>
      </c>
    </row>
    <row r="31" spans="1:9" x14ac:dyDescent="0.25">
      <c r="B31" t="s">
        <v>91</v>
      </c>
    </row>
    <row r="32" spans="1:9" x14ac:dyDescent="0.25">
      <c r="B32" t="s">
        <v>121</v>
      </c>
    </row>
    <row r="33" spans="2:2" x14ac:dyDescent="0.25">
      <c r="B33" t="s">
        <v>147</v>
      </c>
    </row>
    <row r="34" spans="2:2" x14ac:dyDescent="0.25">
      <c r="B34" t="s">
        <v>122</v>
      </c>
    </row>
  </sheetData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2AB43-EC9F-46AB-87B3-578D36E4A519}">
  <sheetPr>
    <pageSetUpPr fitToPage="1"/>
  </sheetPr>
  <dimension ref="B1:I28"/>
  <sheetViews>
    <sheetView workbookViewId="0">
      <selection activeCell="C28" sqref="C28"/>
    </sheetView>
  </sheetViews>
  <sheetFormatPr defaultRowHeight="15" x14ac:dyDescent="0.25"/>
  <cols>
    <col min="3" max="3" width="20.7109375" customWidth="1"/>
    <col min="6" max="8" width="13.85546875" bestFit="1" customWidth="1"/>
  </cols>
  <sheetData>
    <row r="1" spans="2:9" x14ac:dyDescent="0.25">
      <c r="C1" s="21"/>
      <c r="D1" s="21"/>
      <c r="E1" s="21"/>
      <c r="F1" s="21"/>
      <c r="G1" s="21"/>
      <c r="H1" s="21" t="s">
        <v>126</v>
      </c>
      <c r="I1" s="21"/>
    </row>
    <row r="2" spans="2:9" x14ac:dyDescent="0.25">
      <c r="C2" s="21" t="s">
        <v>6</v>
      </c>
      <c r="D2" s="21"/>
      <c r="E2" s="21"/>
      <c r="F2" s="21"/>
      <c r="G2" s="21"/>
      <c r="H2" s="21" t="s">
        <v>7</v>
      </c>
      <c r="I2" s="21"/>
    </row>
    <row r="3" spans="2:9" x14ac:dyDescent="0.25">
      <c r="C3" s="21" t="s">
        <v>5</v>
      </c>
      <c r="D3" s="21"/>
      <c r="E3" s="21"/>
      <c r="F3" s="21"/>
      <c r="G3" s="21"/>
      <c r="H3" s="21"/>
      <c r="I3" s="21"/>
    </row>
    <row r="5" spans="2:9" x14ac:dyDescent="0.25">
      <c r="F5" s="5">
        <v>2023</v>
      </c>
      <c r="G5" s="5">
        <v>2024</v>
      </c>
      <c r="H5" s="5">
        <v>2025</v>
      </c>
    </row>
    <row r="6" spans="2:9" x14ac:dyDescent="0.25">
      <c r="B6" s="10"/>
    </row>
    <row r="7" spans="2:9" x14ac:dyDescent="0.25">
      <c r="B7" s="10">
        <v>1</v>
      </c>
      <c r="C7" t="s">
        <v>8</v>
      </c>
      <c r="F7" s="3">
        <v>5659074413</v>
      </c>
      <c r="G7" s="3">
        <v>6028296640</v>
      </c>
      <c r="H7" s="3">
        <v>6441067850</v>
      </c>
    </row>
    <row r="8" spans="2:9" x14ac:dyDescent="0.25">
      <c r="B8" s="10"/>
      <c r="F8" s="1"/>
      <c r="G8" s="1"/>
      <c r="H8" s="1"/>
    </row>
    <row r="9" spans="2:9" x14ac:dyDescent="0.25">
      <c r="B9" s="10">
        <v>2</v>
      </c>
      <c r="C9" t="s">
        <v>117</v>
      </c>
      <c r="F9" s="13">
        <v>6.83E-2</v>
      </c>
      <c r="G9" s="13">
        <v>6.83E-2</v>
      </c>
      <c r="H9" s="13">
        <v>6.83E-2</v>
      </c>
    </row>
    <row r="10" spans="2:9" x14ac:dyDescent="0.25">
      <c r="B10" s="10"/>
      <c r="F10" s="1"/>
      <c r="G10" s="1"/>
      <c r="H10" s="1"/>
    </row>
    <row r="11" spans="2:9" x14ac:dyDescent="0.25">
      <c r="B11" s="10">
        <v>3</v>
      </c>
      <c r="C11" t="s">
        <v>9</v>
      </c>
      <c r="F11" s="3">
        <f>+F7*F9</f>
        <v>386514782.40789998</v>
      </c>
      <c r="G11" s="3">
        <f t="shared" ref="G11:H11" si="0">+G7*G9</f>
        <v>411732660.51200002</v>
      </c>
      <c r="H11" s="3">
        <f t="shared" si="0"/>
        <v>439924934.15499997</v>
      </c>
    </row>
    <row r="12" spans="2:9" x14ac:dyDescent="0.25">
      <c r="B12" s="10"/>
      <c r="F12" s="1"/>
      <c r="G12" s="1"/>
      <c r="H12" s="1"/>
    </row>
    <row r="13" spans="2:9" x14ac:dyDescent="0.25">
      <c r="B13" s="10">
        <v>4</v>
      </c>
      <c r="C13" t="s">
        <v>10</v>
      </c>
      <c r="F13" s="14">
        <v>418205599</v>
      </c>
      <c r="G13" s="14">
        <v>448505270</v>
      </c>
      <c r="H13" s="14">
        <v>482435982</v>
      </c>
    </row>
    <row r="14" spans="2:9" x14ac:dyDescent="0.25">
      <c r="B14" s="10"/>
      <c r="F14" s="1"/>
      <c r="G14" s="1"/>
      <c r="H14" s="1"/>
    </row>
    <row r="15" spans="2:9" x14ac:dyDescent="0.25">
      <c r="B15" s="10">
        <v>5</v>
      </c>
      <c r="C15" t="s">
        <v>11</v>
      </c>
      <c r="F15" s="7">
        <f>+F11-F13</f>
        <v>-31690816.592100024</v>
      </c>
      <c r="G15" s="7">
        <f t="shared" ref="G15:H15" si="1">+G11-G13</f>
        <v>-36772609.487999976</v>
      </c>
      <c r="H15" s="7">
        <f t="shared" si="1"/>
        <v>-42511047.845000029</v>
      </c>
    </row>
    <row r="16" spans="2:9" x14ac:dyDescent="0.25">
      <c r="B16" s="10"/>
    </row>
    <row r="17" spans="2:8" x14ac:dyDescent="0.25">
      <c r="B17" s="10">
        <v>6</v>
      </c>
      <c r="C17" t="s">
        <v>12</v>
      </c>
      <c r="F17" s="15">
        <v>0.75077499999999997</v>
      </c>
      <c r="G17" s="15">
        <f>+F17</f>
        <v>0.75077499999999997</v>
      </c>
      <c r="H17" s="15">
        <f>+F17</f>
        <v>0.75077499999999997</v>
      </c>
    </row>
    <row r="18" spans="2:8" x14ac:dyDescent="0.25">
      <c r="B18" s="10"/>
    </row>
    <row r="19" spans="2:8" ht="17.25" x14ac:dyDescent="0.4">
      <c r="B19" s="10">
        <v>7</v>
      </c>
      <c r="C19" t="s">
        <v>13</v>
      </c>
      <c r="F19" s="16">
        <f>+F15/F17</f>
        <v>-42210804.291698612</v>
      </c>
      <c r="G19" s="16">
        <f t="shared" ref="G19:H19" si="2">+G15/G17</f>
        <v>-48979533.799074262</v>
      </c>
      <c r="H19" s="16">
        <f t="shared" si="2"/>
        <v>-56622886.810296066</v>
      </c>
    </row>
    <row r="20" spans="2:8" x14ac:dyDescent="0.25">
      <c r="B20" s="10"/>
    </row>
    <row r="21" spans="2:8" x14ac:dyDescent="0.25">
      <c r="B21" s="10"/>
    </row>
    <row r="22" spans="2:8" x14ac:dyDescent="0.25">
      <c r="C22" t="s">
        <v>4</v>
      </c>
    </row>
    <row r="23" spans="2:8" x14ac:dyDescent="0.25">
      <c r="C23" t="s">
        <v>14</v>
      </c>
    </row>
    <row r="24" spans="2:8" x14ac:dyDescent="0.25">
      <c r="C24" t="s">
        <v>62</v>
      </c>
    </row>
    <row r="25" spans="2:8" x14ac:dyDescent="0.25">
      <c r="C25" t="s">
        <v>15</v>
      </c>
    </row>
    <row r="26" spans="2:8" x14ac:dyDescent="0.25">
      <c r="C26" t="s">
        <v>16</v>
      </c>
    </row>
    <row r="27" spans="2:8" x14ac:dyDescent="0.25">
      <c r="C27" t="s">
        <v>140</v>
      </c>
    </row>
    <row r="28" spans="2:8" x14ac:dyDescent="0.25">
      <c r="C28" t="s">
        <v>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FEC5-B8C3-4EEF-BC2F-0E94D9DA1EC6}">
  <sheetPr>
    <pageSetUpPr fitToPage="1"/>
  </sheetPr>
  <dimension ref="A1:I26"/>
  <sheetViews>
    <sheetView workbookViewId="0">
      <selection activeCell="B25" sqref="B25"/>
    </sheetView>
  </sheetViews>
  <sheetFormatPr defaultRowHeight="15" x14ac:dyDescent="0.25"/>
  <cols>
    <col min="2" max="2" width="22.7109375" customWidth="1"/>
    <col min="4" max="4" width="12.5703125" bestFit="1" customWidth="1"/>
    <col min="5" max="5" width="6.7109375" customWidth="1"/>
    <col min="6" max="6" width="12.5703125" bestFit="1" customWidth="1"/>
    <col min="7" max="7" width="6.7109375" customWidth="1"/>
    <col min="8" max="8" width="12.5703125" bestFit="1" customWidth="1"/>
  </cols>
  <sheetData>
    <row r="1" spans="1:9" x14ac:dyDescent="0.25">
      <c r="B1" s="21"/>
      <c r="C1" s="21"/>
      <c r="D1" s="21"/>
      <c r="E1" s="21"/>
      <c r="F1" s="21"/>
      <c r="G1" s="21" t="s">
        <v>126</v>
      </c>
      <c r="H1" s="21"/>
      <c r="I1" s="21"/>
    </row>
    <row r="2" spans="1:9" x14ac:dyDescent="0.25">
      <c r="B2" s="21" t="s">
        <v>6</v>
      </c>
      <c r="C2" s="21"/>
      <c r="D2" s="21"/>
      <c r="E2" s="21"/>
      <c r="F2" s="21"/>
      <c r="G2" s="21" t="s">
        <v>28</v>
      </c>
      <c r="H2" s="21"/>
      <c r="I2" s="21"/>
    </row>
    <row r="3" spans="1:9" x14ac:dyDescent="0.25">
      <c r="B3" s="21" t="s">
        <v>27</v>
      </c>
      <c r="C3" s="21"/>
      <c r="D3" s="21"/>
      <c r="E3" s="21"/>
      <c r="F3" s="21"/>
      <c r="G3" s="21"/>
      <c r="H3" s="21"/>
      <c r="I3" s="21"/>
    </row>
    <row r="7" spans="1:9" x14ac:dyDescent="0.25">
      <c r="B7" s="19"/>
    </row>
    <row r="8" spans="1:9" x14ac:dyDescent="0.25">
      <c r="D8" s="5">
        <v>2023</v>
      </c>
      <c r="E8" s="5"/>
      <c r="F8" s="5">
        <v>2024</v>
      </c>
      <c r="G8" s="5"/>
      <c r="H8" s="5">
        <v>2025</v>
      </c>
      <c r="I8" s="19"/>
    </row>
    <row r="11" spans="1:9" x14ac:dyDescent="0.25">
      <c r="A11" s="10">
        <v>1</v>
      </c>
      <c r="B11" t="s">
        <v>19</v>
      </c>
      <c r="D11" s="7">
        <f>-17884261-(0.6594*44639)</f>
        <v>-17913695.956599999</v>
      </c>
      <c r="E11" s="7"/>
      <c r="F11" s="7">
        <f>+D11</f>
        <v>-17913695.956599999</v>
      </c>
      <c r="G11" s="7"/>
      <c r="H11" s="7">
        <f>+D11</f>
        <v>-17913695.956599999</v>
      </c>
      <c r="I11" s="7"/>
    </row>
    <row r="12" spans="1:9" x14ac:dyDescent="0.25">
      <c r="A12" s="10"/>
      <c r="D12" s="7"/>
      <c r="E12" s="7"/>
      <c r="F12" s="7"/>
      <c r="G12" s="7"/>
      <c r="H12" s="7"/>
      <c r="I12" s="7"/>
    </row>
    <row r="13" spans="1:9" x14ac:dyDescent="0.25">
      <c r="A13" s="10">
        <v>2</v>
      </c>
      <c r="B13" t="s">
        <v>20</v>
      </c>
      <c r="D13" s="6">
        <f>0.21*D11</f>
        <v>-3761876.1508859997</v>
      </c>
      <c r="E13" s="6"/>
      <c r="F13" s="6">
        <f t="shared" ref="F13:H13" si="0">0.21*F11</f>
        <v>-3761876.1508859997</v>
      </c>
      <c r="G13" s="6"/>
      <c r="H13" s="6">
        <f t="shared" si="0"/>
        <v>-3761876.1508859997</v>
      </c>
      <c r="I13" s="4"/>
    </row>
    <row r="14" spans="1:9" x14ac:dyDescent="0.25">
      <c r="A14" s="10"/>
      <c r="D14" s="7"/>
      <c r="E14" s="7"/>
      <c r="F14" s="7"/>
      <c r="G14" s="7"/>
      <c r="H14" s="7"/>
      <c r="I14" s="7"/>
    </row>
    <row r="15" spans="1:9" x14ac:dyDescent="0.25">
      <c r="A15" s="10">
        <v>3</v>
      </c>
      <c r="B15" t="s">
        <v>21</v>
      </c>
      <c r="D15" s="7">
        <f>+D11-D13</f>
        <v>-14151819.805714</v>
      </c>
      <c r="E15" s="7"/>
      <c r="F15" s="7">
        <f t="shared" ref="F15:H15" si="1">+F11-F13</f>
        <v>-14151819.805714</v>
      </c>
      <c r="G15" s="7"/>
      <c r="H15" s="7">
        <f t="shared" si="1"/>
        <v>-14151819.805714</v>
      </c>
      <c r="I15" s="7"/>
    </row>
    <row r="16" spans="1:9" x14ac:dyDescent="0.25">
      <c r="A16" s="10"/>
    </row>
    <row r="17" spans="1:9" x14ac:dyDescent="0.25">
      <c r="A17" s="10">
        <v>4</v>
      </c>
      <c r="B17" t="s">
        <v>22</v>
      </c>
      <c r="D17" s="15">
        <v>0.75077499999999997</v>
      </c>
      <c r="E17" s="15"/>
      <c r="F17" s="15">
        <f>+D17</f>
        <v>0.75077499999999997</v>
      </c>
      <c r="G17" s="15"/>
      <c r="H17" s="15">
        <f>+D17</f>
        <v>0.75077499999999997</v>
      </c>
    </row>
    <row r="18" spans="1:9" x14ac:dyDescent="0.25">
      <c r="A18" s="10"/>
    </row>
    <row r="19" spans="1:9" ht="17.25" x14ac:dyDescent="0.4">
      <c r="A19" s="10">
        <v>5</v>
      </c>
      <c r="B19" t="s">
        <v>23</v>
      </c>
      <c r="D19" s="20">
        <f>+D15/D17</f>
        <v>-18849615.138642069</v>
      </c>
      <c r="E19" s="20"/>
      <c r="F19" s="20">
        <f t="shared" ref="F19:H19" si="2">+F15/F17</f>
        <v>-18849615.138642069</v>
      </c>
      <c r="G19" s="20"/>
      <c r="H19" s="20">
        <f t="shared" si="2"/>
        <v>-18849615.138642069</v>
      </c>
      <c r="I19" s="7"/>
    </row>
    <row r="20" spans="1:9" x14ac:dyDescent="0.25">
      <c r="D20" s="7"/>
      <c r="E20" s="7"/>
      <c r="F20" s="7"/>
      <c r="G20" s="7"/>
      <c r="H20" s="7"/>
      <c r="I20" s="7"/>
    </row>
    <row r="21" spans="1:9" x14ac:dyDescent="0.25">
      <c r="B21" t="s">
        <v>4</v>
      </c>
      <c r="D21" s="7"/>
      <c r="E21" s="7"/>
      <c r="F21" s="7"/>
      <c r="G21" s="7"/>
      <c r="H21" s="7"/>
      <c r="I21" s="7"/>
    </row>
    <row r="22" spans="1:9" x14ac:dyDescent="0.25">
      <c r="B22" t="s">
        <v>125</v>
      </c>
      <c r="D22" s="7"/>
      <c r="E22" s="7"/>
      <c r="F22" s="7"/>
      <c r="G22" s="7"/>
      <c r="H22" s="7"/>
      <c r="I22" s="7"/>
    </row>
    <row r="23" spans="1:9" x14ac:dyDescent="0.25">
      <c r="B23" t="s">
        <v>24</v>
      </c>
    </row>
    <row r="24" spans="1:9" x14ac:dyDescent="0.25">
      <c r="B24" t="s">
        <v>25</v>
      </c>
    </row>
    <row r="25" spans="1:9" x14ac:dyDescent="0.25">
      <c r="B25" t="s">
        <v>139</v>
      </c>
    </row>
    <row r="26" spans="1:9" x14ac:dyDescent="0.25">
      <c r="B26" t="s">
        <v>26</v>
      </c>
    </row>
  </sheetData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5D01-BA36-4978-AD2F-213E6AB69436}">
  <sheetPr>
    <pageSetUpPr fitToPage="1"/>
  </sheetPr>
  <dimension ref="B1:K33"/>
  <sheetViews>
    <sheetView workbookViewId="0">
      <selection activeCell="C32" sqref="C32"/>
    </sheetView>
  </sheetViews>
  <sheetFormatPr defaultRowHeight="15" x14ac:dyDescent="0.25"/>
  <cols>
    <col min="3" max="5" width="12.7109375" customWidth="1"/>
    <col min="6" max="6" width="14.7109375" customWidth="1"/>
    <col min="7" max="7" width="5.7109375" customWidth="1"/>
    <col min="8" max="8" width="14.7109375" customWidth="1"/>
    <col min="9" max="9" width="5.7109375" customWidth="1"/>
    <col min="10" max="10" width="14.7109375" customWidth="1"/>
  </cols>
  <sheetData>
    <row r="1" spans="2:11" x14ac:dyDescent="0.25">
      <c r="C1" s="21"/>
      <c r="D1" s="21"/>
      <c r="E1" s="21"/>
      <c r="F1" s="21"/>
      <c r="G1" s="21"/>
      <c r="H1" s="21"/>
      <c r="I1" s="21"/>
      <c r="J1" s="21" t="s">
        <v>126</v>
      </c>
      <c r="K1" s="21"/>
    </row>
    <row r="2" spans="2:11" x14ac:dyDescent="0.25">
      <c r="C2" s="21" t="s">
        <v>6</v>
      </c>
      <c r="D2" s="21"/>
      <c r="E2" s="21"/>
      <c r="F2" s="21"/>
      <c r="G2" s="21"/>
      <c r="H2" s="21"/>
      <c r="I2" s="21"/>
      <c r="J2" s="21" t="s">
        <v>30</v>
      </c>
      <c r="K2" s="21"/>
    </row>
    <row r="3" spans="2:11" x14ac:dyDescent="0.25">
      <c r="C3" s="21" t="s">
        <v>31</v>
      </c>
      <c r="D3" s="21"/>
      <c r="E3" s="21"/>
      <c r="F3" s="21"/>
      <c r="G3" s="21"/>
      <c r="H3" s="21"/>
      <c r="I3" s="21"/>
      <c r="J3" s="21"/>
      <c r="K3" s="21"/>
    </row>
    <row r="5" spans="2:11" x14ac:dyDescent="0.25">
      <c r="F5" s="5">
        <v>2023</v>
      </c>
      <c r="G5" s="5"/>
      <c r="H5" s="5">
        <v>2024</v>
      </c>
      <c r="I5" s="5"/>
      <c r="J5" s="5">
        <v>2025</v>
      </c>
      <c r="K5" s="5"/>
    </row>
    <row r="6" spans="2:11" x14ac:dyDescent="0.25">
      <c r="B6" s="10"/>
    </row>
    <row r="7" spans="2:11" x14ac:dyDescent="0.25">
      <c r="B7" s="10">
        <v>1</v>
      </c>
      <c r="C7" t="s">
        <v>41</v>
      </c>
      <c r="F7" s="7">
        <v>-194357206</v>
      </c>
      <c r="G7" s="7"/>
      <c r="H7" s="7">
        <f>+F7</f>
        <v>-194357206</v>
      </c>
      <c r="I7" s="7"/>
      <c r="J7" s="7">
        <f>+F7</f>
        <v>-194357206</v>
      </c>
      <c r="K7" s="3"/>
    </row>
    <row r="8" spans="2:11" x14ac:dyDescent="0.25">
      <c r="B8" s="10">
        <v>2</v>
      </c>
      <c r="C8" t="s">
        <v>34</v>
      </c>
      <c r="F8" s="4">
        <f>-28310158-4598268</f>
        <v>-32908426</v>
      </c>
      <c r="G8" s="4"/>
      <c r="H8" s="4">
        <f>-28310158-104534197</f>
        <v>-132844355</v>
      </c>
      <c r="I8" s="4"/>
      <c r="J8" s="4">
        <f>-28310158-104534197</f>
        <v>-132844355</v>
      </c>
    </row>
    <row r="9" spans="2:11" x14ac:dyDescent="0.25">
      <c r="B9" s="10">
        <v>3</v>
      </c>
      <c r="C9" t="s">
        <v>35</v>
      </c>
      <c r="F9" s="6">
        <f>36317803+15024314-(0.0556*F7)-(0.0556*F8/2)</f>
        <v>63063231.896399997</v>
      </c>
      <c r="G9" s="6"/>
      <c r="H9" s="6">
        <f>+F9-(0.0556*H7)-(0.0556*H8/2)</f>
        <v>77562565.619000003</v>
      </c>
      <c r="I9" s="6"/>
      <c r="J9" s="6">
        <f>+H9-(0.0556*J7)-(0.0556*J8/2)</f>
        <v>92061899.341600001</v>
      </c>
    </row>
    <row r="10" spans="2:11" x14ac:dyDescent="0.25">
      <c r="B10" s="10">
        <v>4</v>
      </c>
      <c r="C10" t="s">
        <v>43</v>
      </c>
      <c r="F10" s="7">
        <f>+F8+F9+F7</f>
        <v>-164202400.1036</v>
      </c>
      <c r="G10" s="7"/>
      <c r="H10" s="7">
        <f>+H8+H9+H7</f>
        <v>-249638995.38099998</v>
      </c>
      <c r="I10" s="7"/>
      <c r="J10" s="7">
        <f>+J8+J9+J7</f>
        <v>-235139661.6584</v>
      </c>
    </row>
    <row r="11" spans="2:11" x14ac:dyDescent="0.25">
      <c r="B11" s="10">
        <v>5</v>
      </c>
      <c r="C11" t="s">
        <v>118</v>
      </c>
      <c r="F11" s="13">
        <v>6.83E-2</v>
      </c>
      <c r="G11" s="15"/>
      <c r="H11" s="13">
        <v>6.83E-2</v>
      </c>
      <c r="I11" s="15"/>
      <c r="J11" s="13">
        <v>6.83E-2</v>
      </c>
    </row>
    <row r="12" spans="2:11" x14ac:dyDescent="0.25">
      <c r="B12" s="10">
        <v>6</v>
      </c>
      <c r="C12" t="s">
        <v>36</v>
      </c>
      <c r="F12" s="7">
        <f>+F10*F11</f>
        <v>-11215023.92707588</v>
      </c>
      <c r="G12" s="7"/>
      <c r="H12" s="7">
        <f>+H10*H11</f>
        <v>-17050343.3845223</v>
      </c>
      <c r="I12" s="7"/>
      <c r="J12" s="7">
        <f>+J10*J11</f>
        <v>-16060038.891268719</v>
      </c>
      <c r="K12" s="7"/>
    </row>
    <row r="13" spans="2:11" x14ac:dyDescent="0.25">
      <c r="B13" s="10">
        <v>7</v>
      </c>
      <c r="C13" t="s">
        <v>37</v>
      </c>
      <c r="F13" s="6">
        <f>+F10*0.0256*0.21</f>
        <v>-882752.10295695357</v>
      </c>
      <c r="G13" s="6"/>
      <c r="H13" s="6">
        <f>+H10*0.0256*0.21</f>
        <v>-1342059.2391682558</v>
      </c>
      <c r="I13" s="6"/>
      <c r="J13" s="6">
        <f>+J10*0.0256*0.21</f>
        <v>-1264110.8210755584</v>
      </c>
      <c r="K13" s="4"/>
    </row>
    <row r="14" spans="2:11" x14ac:dyDescent="0.25">
      <c r="B14" s="10">
        <v>8</v>
      </c>
      <c r="C14" t="s">
        <v>38</v>
      </c>
      <c r="F14" s="7">
        <f>+F12-F13</f>
        <v>-10332271.824118925</v>
      </c>
      <c r="G14" s="7"/>
      <c r="H14" s="7">
        <f>+H12-H13</f>
        <v>-15708284.145354044</v>
      </c>
      <c r="I14" s="7"/>
      <c r="J14" s="7">
        <f>+J12-J13</f>
        <v>-14795928.07019316</v>
      </c>
    </row>
    <row r="15" spans="2:11" x14ac:dyDescent="0.25">
      <c r="B15" s="10">
        <v>9</v>
      </c>
      <c r="C15" t="s">
        <v>39</v>
      </c>
      <c r="F15" s="15">
        <v>0.75077499999999997</v>
      </c>
      <c r="G15" s="15"/>
      <c r="H15" s="15">
        <v>0.75077499999999997</v>
      </c>
      <c r="I15" s="15"/>
      <c r="J15" s="15">
        <v>0.75077499999999997</v>
      </c>
    </row>
    <row r="16" spans="2:11" ht="17.25" x14ac:dyDescent="0.4">
      <c r="B16" s="10">
        <v>10</v>
      </c>
      <c r="C16" t="s">
        <v>40</v>
      </c>
      <c r="F16" s="23">
        <f>+F14/F15</f>
        <v>-13762141.552554261</v>
      </c>
      <c r="G16" s="23"/>
      <c r="H16" s="23">
        <f>+H14/H15</f>
        <v>-20922758.676506337</v>
      </c>
      <c r="I16" s="23"/>
      <c r="J16" s="23">
        <f>+J14/J15</f>
        <v>-19707539.63596705</v>
      </c>
    </row>
    <row r="18" spans="3:10" x14ac:dyDescent="0.25">
      <c r="F18" s="1"/>
      <c r="H18" s="1"/>
      <c r="J18" s="1"/>
    </row>
    <row r="19" spans="3:10" x14ac:dyDescent="0.25">
      <c r="F19" s="3"/>
      <c r="H19" s="3"/>
      <c r="J19" s="3"/>
    </row>
    <row r="20" spans="3:10" x14ac:dyDescent="0.25">
      <c r="C20" t="s">
        <v>4</v>
      </c>
    </row>
    <row r="21" spans="3:10" x14ac:dyDescent="0.25">
      <c r="C21" t="s">
        <v>33</v>
      </c>
    </row>
    <row r="22" spans="3:10" x14ac:dyDescent="0.25">
      <c r="C22" t="s">
        <v>124</v>
      </c>
    </row>
    <row r="23" spans="3:10" x14ac:dyDescent="0.25">
      <c r="C23" t="s">
        <v>48</v>
      </c>
    </row>
    <row r="24" spans="3:10" x14ac:dyDescent="0.25">
      <c r="C24" t="s">
        <v>49</v>
      </c>
    </row>
    <row r="25" spans="3:10" x14ac:dyDescent="0.25">
      <c r="C25" t="s">
        <v>44</v>
      </c>
    </row>
    <row r="26" spans="3:10" x14ac:dyDescent="0.25">
      <c r="C26" t="s">
        <v>123</v>
      </c>
    </row>
    <row r="27" spans="3:10" x14ac:dyDescent="0.25">
      <c r="C27" t="s">
        <v>42</v>
      </c>
    </row>
    <row r="28" spans="3:10" x14ac:dyDescent="0.25">
      <c r="C28" t="s">
        <v>63</v>
      </c>
    </row>
    <row r="29" spans="3:10" x14ac:dyDescent="0.25">
      <c r="C29" t="s">
        <v>45</v>
      </c>
    </row>
    <row r="30" spans="3:10" x14ac:dyDescent="0.25">
      <c r="C30" t="s">
        <v>95</v>
      </c>
    </row>
    <row r="31" spans="3:10" x14ac:dyDescent="0.25">
      <c r="C31" t="s">
        <v>46</v>
      </c>
    </row>
    <row r="32" spans="3:10" x14ac:dyDescent="0.25">
      <c r="C32" t="s">
        <v>141</v>
      </c>
    </row>
    <row r="33" spans="3:3" x14ac:dyDescent="0.25">
      <c r="C33" t="s">
        <v>47</v>
      </c>
    </row>
  </sheetData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D9A0-8C68-4539-86CF-9EE2B3D0B46C}">
  <sheetPr>
    <pageSetUpPr fitToPage="1"/>
  </sheetPr>
  <dimension ref="A1:I25"/>
  <sheetViews>
    <sheetView workbookViewId="0">
      <selection activeCell="B24" sqref="B24"/>
    </sheetView>
  </sheetViews>
  <sheetFormatPr defaultRowHeight="15" x14ac:dyDescent="0.25"/>
  <cols>
    <col min="2" max="2" width="20.7109375" customWidth="1"/>
    <col min="4" max="4" width="12.7109375" customWidth="1"/>
    <col min="5" max="5" width="5.7109375" customWidth="1"/>
    <col min="6" max="6" width="12.7109375" customWidth="1"/>
    <col min="7" max="7" width="5.7109375" customWidth="1"/>
    <col min="8" max="8" width="12.7109375" customWidth="1"/>
    <col min="9" max="9" width="14.7109375" customWidth="1"/>
  </cols>
  <sheetData>
    <row r="1" spans="1:9" x14ac:dyDescent="0.25">
      <c r="B1" s="21"/>
      <c r="C1" s="21"/>
      <c r="D1" s="21"/>
      <c r="E1" s="21"/>
      <c r="F1" s="21"/>
      <c r="G1" s="21"/>
      <c r="H1" s="21" t="s">
        <v>126</v>
      </c>
      <c r="I1" s="21"/>
    </row>
    <row r="2" spans="1:9" x14ac:dyDescent="0.25">
      <c r="B2" s="21" t="s">
        <v>6</v>
      </c>
      <c r="C2" s="21"/>
      <c r="D2" s="21"/>
      <c r="E2" s="21"/>
      <c r="F2" s="21"/>
      <c r="G2" s="21"/>
      <c r="H2" s="21" t="s">
        <v>51</v>
      </c>
      <c r="I2" s="21"/>
    </row>
    <row r="3" spans="1:9" x14ac:dyDescent="0.25">
      <c r="B3" s="21" t="s">
        <v>50</v>
      </c>
      <c r="C3" s="21"/>
      <c r="D3" s="21"/>
      <c r="E3" s="21"/>
      <c r="F3" s="21"/>
      <c r="G3" s="21"/>
      <c r="H3" s="21"/>
      <c r="I3" s="21"/>
    </row>
    <row r="4" spans="1:9" x14ac:dyDescent="0.25">
      <c r="B4" s="21"/>
      <c r="C4" s="21"/>
      <c r="D4" s="21"/>
      <c r="E4" s="21"/>
      <c r="F4" s="21"/>
      <c r="G4" s="21"/>
      <c r="H4" s="21"/>
      <c r="I4" s="21"/>
    </row>
    <row r="6" spans="1:9" x14ac:dyDescent="0.25">
      <c r="D6" s="5">
        <v>2023</v>
      </c>
      <c r="E6" s="5"/>
      <c r="F6" s="5">
        <v>2024</v>
      </c>
      <c r="G6" s="5"/>
      <c r="H6" s="5">
        <v>2025</v>
      </c>
    </row>
    <row r="7" spans="1:9" x14ac:dyDescent="0.25">
      <c r="A7" s="10"/>
    </row>
    <row r="8" spans="1:9" x14ac:dyDescent="0.25">
      <c r="A8" s="10">
        <v>1</v>
      </c>
      <c r="B8" t="s">
        <v>19</v>
      </c>
      <c r="D8" s="7">
        <v>-8344284</v>
      </c>
      <c r="E8" s="7"/>
      <c r="F8" s="7">
        <f>+D8</f>
        <v>-8344284</v>
      </c>
      <c r="G8" s="7"/>
      <c r="H8" s="7">
        <f>+D8</f>
        <v>-8344284</v>
      </c>
      <c r="I8" s="3"/>
    </row>
    <row r="9" spans="1:9" x14ac:dyDescent="0.25">
      <c r="A9" s="10"/>
      <c r="D9" s="1"/>
      <c r="E9" s="1"/>
      <c r="F9" s="1"/>
      <c r="G9" s="1"/>
      <c r="H9" s="1"/>
    </row>
    <row r="10" spans="1:9" x14ac:dyDescent="0.25">
      <c r="A10" s="10">
        <v>2</v>
      </c>
      <c r="B10" t="s">
        <v>20</v>
      </c>
      <c r="D10" s="6">
        <f>0.21*D8</f>
        <v>-1752299.64</v>
      </c>
      <c r="E10" s="6"/>
      <c r="F10" s="6">
        <f t="shared" ref="F10:H10" si="0">0.21*F8</f>
        <v>-1752299.64</v>
      </c>
      <c r="G10" s="6"/>
      <c r="H10" s="6">
        <f t="shared" si="0"/>
        <v>-1752299.64</v>
      </c>
    </row>
    <row r="11" spans="1:9" x14ac:dyDescent="0.25">
      <c r="A11" s="10"/>
      <c r="D11" s="1"/>
      <c r="E11" s="1"/>
      <c r="F11" s="1"/>
      <c r="G11" s="1"/>
      <c r="H11" s="1"/>
    </row>
    <row r="12" spans="1:9" x14ac:dyDescent="0.25">
      <c r="A12" s="10">
        <v>3</v>
      </c>
      <c r="B12" t="s">
        <v>21</v>
      </c>
      <c r="D12" s="7">
        <f>+D8-D10</f>
        <v>-6591984.3600000003</v>
      </c>
      <c r="E12" s="7"/>
      <c r="F12" s="7">
        <f t="shared" ref="F12:H12" si="1">+F8-F10</f>
        <v>-6591984.3600000003</v>
      </c>
      <c r="G12" s="7"/>
      <c r="H12" s="7">
        <f t="shared" si="1"/>
        <v>-6591984.3600000003</v>
      </c>
      <c r="I12" s="3"/>
    </row>
    <row r="13" spans="1:9" x14ac:dyDescent="0.25">
      <c r="A13" s="10"/>
    </row>
    <row r="14" spans="1:9" x14ac:dyDescent="0.25">
      <c r="A14" s="10">
        <v>4</v>
      </c>
      <c r="B14" t="s">
        <v>22</v>
      </c>
      <c r="D14" s="15">
        <v>0.75077499999999997</v>
      </c>
      <c r="E14" s="15"/>
      <c r="F14" s="15">
        <f>+D14</f>
        <v>0.75077499999999997</v>
      </c>
      <c r="G14" s="15"/>
      <c r="H14" s="15">
        <f>+D14</f>
        <v>0.75077499999999997</v>
      </c>
    </row>
    <row r="15" spans="1:9" x14ac:dyDescent="0.25">
      <c r="A15" s="10"/>
    </row>
    <row r="16" spans="1:9" ht="17.25" x14ac:dyDescent="0.4">
      <c r="A16" s="10">
        <v>5</v>
      </c>
      <c r="B16" t="s">
        <v>23</v>
      </c>
      <c r="D16" s="12">
        <f>+D12/D14</f>
        <v>-8780239.5657820255</v>
      </c>
      <c r="E16" s="12"/>
      <c r="F16" s="12">
        <f t="shared" ref="F16:H16" si="2">+F12/F14</f>
        <v>-8780239.5657820255</v>
      </c>
      <c r="G16" s="12"/>
      <c r="H16" s="12">
        <f t="shared" si="2"/>
        <v>-8780239.5657820255</v>
      </c>
      <c r="I16" s="24"/>
    </row>
    <row r="17" spans="1:2" x14ac:dyDescent="0.25">
      <c r="A17" s="10"/>
    </row>
    <row r="18" spans="1:2" x14ac:dyDescent="0.25">
      <c r="A18" s="10"/>
    </row>
    <row r="20" spans="1:2" x14ac:dyDescent="0.25">
      <c r="B20" t="s">
        <v>4</v>
      </c>
    </row>
    <row r="21" spans="1:2" x14ac:dyDescent="0.25">
      <c r="B21" t="s">
        <v>33</v>
      </c>
    </row>
    <row r="22" spans="1:2" x14ac:dyDescent="0.25">
      <c r="B22" t="s">
        <v>24</v>
      </c>
    </row>
    <row r="23" spans="1:2" x14ac:dyDescent="0.25">
      <c r="B23" t="s">
        <v>25</v>
      </c>
    </row>
    <row r="24" spans="1:2" x14ac:dyDescent="0.25">
      <c r="B24" t="s">
        <v>139</v>
      </c>
    </row>
    <row r="25" spans="1:2" x14ac:dyDescent="0.25">
      <c r="B25" t="s">
        <v>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E9B3-15E9-4948-9BCB-1388A2BCDFF7}">
  <sheetPr>
    <pageSetUpPr fitToPage="1"/>
  </sheetPr>
  <dimension ref="A1:J17"/>
  <sheetViews>
    <sheetView tabSelected="1" workbookViewId="0">
      <selection activeCell="I23" sqref="I23"/>
    </sheetView>
  </sheetViews>
  <sheetFormatPr defaultRowHeight="15" x14ac:dyDescent="0.25"/>
  <cols>
    <col min="2" max="2" width="20.7109375" customWidth="1"/>
    <col min="5" max="5" width="11.5703125" bestFit="1" customWidth="1"/>
    <col min="6" max="6" width="5.7109375" customWidth="1"/>
    <col min="7" max="7" width="10" bestFit="1" customWidth="1"/>
    <col min="8" max="8" width="5.7109375" customWidth="1"/>
    <col min="9" max="9" width="9.28515625" bestFit="1" customWidth="1"/>
  </cols>
  <sheetData>
    <row r="1" spans="1:10" x14ac:dyDescent="0.25">
      <c r="B1" s="21"/>
      <c r="C1" s="21"/>
      <c r="D1" s="21"/>
      <c r="E1" s="21"/>
      <c r="F1" s="21"/>
      <c r="G1" s="21"/>
      <c r="H1" s="21" t="s">
        <v>126</v>
      </c>
      <c r="I1" s="21"/>
      <c r="J1" s="21"/>
    </row>
    <row r="2" spans="1:10" x14ac:dyDescent="0.25">
      <c r="B2" s="21" t="s">
        <v>6</v>
      </c>
      <c r="C2" s="21"/>
      <c r="D2" s="21"/>
      <c r="E2" s="21"/>
      <c r="F2" s="21"/>
      <c r="G2" s="21"/>
      <c r="H2" s="21" t="s">
        <v>57</v>
      </c>
      <c r="I2" s="21"/>
      <c r="J2" s="21"/>
    </row>
    <row r="3" spans="1:10" x14ac:dyDescent="0.25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5" spans="1:10" x14ac:dyDescent="0.25">
      <c r="E5" s="5">
        <v>2023</v>
      </c>
      <c r="F5" s="5"/>
      <c r="G5" s="5">
        <v>2024</v>
      </c>
      <c r="H5" s="5"/>
      <c r="I5" s="5">
        <v>2025</v>
      </c>
    </row>
    <row r="7" spans="1:10" x14ac:dyDescent="0.25">
      <c r="A7" s="10">
        <v>1</v>
      </c>
      <c r="B7" t="s">
        <v>54</v>
      </c>
      <c r="E7" s="7">
        <v>-1061828</v>
      </c>
      <c r="F7" s="7"/>
      <c r="G7" s="7">
        <f>+E7+79420</f>
        <v>-982408</v>
      </c>
      <c r="H7" s="7"/>
      <c r="I7" s="7">
        <f>+G7+1107445</f>
        <v>125037</v>
      </c>
    </row>
    <row r="8" spans="1:10" x14ac:dyDescent="0.25">
      <c r="A8" s="10"/>
      <c r="E8" s="7"/>
      <c r="F8" s="7"/>
      <c r="G8" s="7"/>
      <c r="H8" s="7"/>
      <c r="I8" s="7"/>
    </row>
    <row r="9" spans="1:10" x14ac:dyDescent="0.25">
      <c r="A9" s="10">
        <v>2</v>
      </c>
      <c r="B9" t="s">
        <v>52</v>
      </c>
      <c r="E9" s="7"/>
      <c r="F9" s="7"/>
      <c r="G9" s="7"/>
      <c r="H9" s="7"/>
      <c r="I9" s="7"/>
    </row>
    <row r="10" spans="1:10" ht="17.25" x14ac:dyDescent="0.4">
      <c r="A10" s="10"/>
      <c r="B10" t="s">
        <v>55</v>
      </c>
      <c r="E10" s="12">
        <f>+E7*0.752355/0.750775</f>
        <v>-1064062.6085578236</v>
      </c>
      <c r="F10" s="12"/>
      <c r="G10" s="12">
        <f t="shared" ref="G10:I10" si="0">+G7*0.752355/0.750775</f>
        <v>-984475.46980120533</v>
      </c>
      <c r="H10" s="12"/>
      <c r="I10" s="12">
        <f t="shared" si="0"/>
        <v>125300.13936931836</v>
      </c>
    </row>
    <row r="11" spans="1:10" x14ac:dyDescent="0.25">
      <c r="E11" s="7"/>
      <c r="F11" s="7"/>
      <c r="G11" s="7"/>
      <c r="H11" s="7"/>
      <c r="I11" s="7"/>
    </row>
    <row r="12" spans="1:10" x14ac:dyDescent="0.25">
      <c r="E12" s="1"/>
      <c r="F12" s="1"/>
      <c r="G12" s="1"/>
      <c r="H12" s="1"/>
      <c r="I12" s="1"/>
    </row>
    <row r="14" spans="1:10" x14ac:dyDescent="0.25">
      <c r="B14" t="s">
        <v>4</v>
      </c>
    </row>
    <row r="15" spans="1:10" x14ac:dyDescent="0.25">
      <c r="B15" t="s">
        <v>53</v>
      </c>
    </row>
    <row r="16" spans="1:10" x14ac:dyDescent="0.25">
      <c r="B16" t="s">
        <v>56</v>
      </c>
    </row>
    <row r="17" spans="2:2" x14ac:dyDescent="0.25">
      <c r="B17" t="s">
        <v>148</v>
      </c>
    </row>
  </sheetData>
  <pageMargins left="0.7" right="0.7" top="0.75" bottom="0.7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EDDFD-30CA-4300-8808-CBDA0B713BC3}">
  <sheetPr>
    <pageSetUpPr fitToPage="1"/>
  </sheetPr>
  <dimension ref="A1:J24"/>
  <sheetViews>
    <sheetView workbookViewId="0">
      <selection activeCell="B23" sqref="B23"/>
    </sheetView>
  </sheetViews>
  <sheetFormatPr defaultRowHeight="15" x14ac:dyDescent="0.25"/>
  <cols>
    <col min="2" max="2" width="14.7109375" customWidth="1"/>
    <col min="5" max="5" width="12.5703125" bestFit="1" customWidth="1"/>
    <col min="6" max="6" width="5.7109375" customWidth="1"/>
    <col min="7" max="7" width="12.5703125" bestFit="1" customWidth="1"/>
    <col min="8" max="8" width="5.7109375" customWidth="1"/>
    <col min="9" max="9" width="12.5703125" bestFit="1" customWidth="1"/>
  </cols>
  <sheetData>
    <row r="1" spans="1:10" x14ac:dyDescent="0.25">
      <c r="B1" s="21"/>
      <c r="C1" s="21"/>
      <c r="D1" s="21"/>
      <c r="E1" s="21"/>
      <c r="F1" s="21"/>
      <c r="G1" s="21"/>
      <c r="H1" s="21" t="s">
        <v>126</v>
      </c>
      <c r="I1" s="21"/>
      <c r="J1" s="21"/>
    </row>
    <row r="2" spans="1:10" x14ac:dyDescent="0.25">
      <c r="B2" s="21" t="s">
        <v>6</v>
      </c>
      <c r="C2" s="21"/>
      <c r="D2" s="21"/>
      <c r="E2" s="21"/>
      <c r="F2" s="21"/>
      <c r="G2" s="21"/>
      <c r="H2" s="21" t="s">
        <v>59</v>
      </c>
      <c r="I2" s="21"/>
      <c r="J2" s="21"/>
    </row>
    <row r="3" spans="1:10" x14ac:dyDescent="0.25">
      <c r="B3" s="21" t="s">
        <v>58</v>
      </c>
      <c r="C3" s="21"/>
      <c r="D3" s="21"/>
      <c r="E3" s="21"/>
      <c r="F3" s="21"/>
      <c r="G3" s="21"/>
      <c r="H3" s="21"/>
      <c r="I3" s="21"/>
      <c r="J3" s="21"/>
    </row>
    <row r="4" spans="1:10" x14ac:dyDescent="0.25"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E5" s="5">
        <v>2023</v>
      </c>
      <c r="F5" s="5"/>
      <c r="G5" s="5">
        <v>2024</v>
      </c>
      <c r="H5" s="5"/>
      <c r="I5" s="5">
        <v>2025</v>
      </c>
      <c r="J5" s="5"/>
    </row>
    <row r="7" spans="1:10" x14ac:dyDescent="0.25">
      <c r="A7" s="10">
        <v>1</v>
      </c>
      <c r="B7" t="s">
        <v>19</v>
      </c>
      <c r="E7" s="7">
        <f>-35866558/2</f>
        <v>-17933279</v>
      </c>
      <c r="F7" s="7"/>
      <c r="G7" s="7">
        <f>-39040725/2</f>
        <v>-19520362.5</v>
      </c>
      <c r="H7" s="7"/>
      <c r="I7" s="7">
        <f>-46935519/2</f>
        <v>-23467759.5</v>
      </c>
      <c r="J7" s="7"/>
    </row>
    <row r="8" spans="1:10" x14ac:dyDescent="0.25">
      <c r="A8" s="10"/>
      <c r="E8" s="4"/>
      <c r="F8" s="4"/>
      <c r="G8" s="4"/>
      <c r="H8" s="4"/>
      <c r="I8" s="4"/>
      <c r="J8" s="4"/>
    </row>
    <row r="9" spans="1:10" x14ac:dyDescent="0.25">
      <c r="A9" s="10">
        <v>2</v>
      </c>
      <c r="B9" t="s">
        <v>20</v>
      </c>
      <c r="E9" s="6">
        <f>0.21*E7</f>
        <v>-3765988.59</v>
      </c>
      <c r="F9" s="6"/>
      <c r="G9" s="6">
        <f t="shared" ref="G9:I9" si="0">0.21*G7</f>
        <v>-4099276.125</v>
      </c>
      <c r="H9" s="6"/>
      <c r="I9" s="6">
        <f t="shared" si="0"/>
        <v>-4928229.4950000001</v>
      </c>
      <c r="J9" s="4"/>
    </row>
    <row r="10" spans="1:10" x14ac:dyDescent="0.25">
      <c r="A10" s="10"/>
      <c r="E10" s="4"/>
      <c r="F10" s="4"/>
      <c r="G10" s="4"/>
      <c r="H10" s="4"/>
      <c r="I10" s="4"/>
      <c r="J10" s="4"/>
    </row>
    <row r="11" spans="1:10" x14ac:dyDescent="0.25">
      <c r="A11" s="10">
        <v>3</v>
      </c>
      <c r="B11" t="s">
        <v>21</v>
      </c>
      <c r="E11" s="7">
        <f>+E7-E9</f>
        <v>-14167290.41</v>
      </c>
      <c r="F11" s="7"/>
      <c r="G11" s="7">
        <f t="shared" ref="G11:I11" si="1">+G7-G9</f>
        <v>-15421086.375</v>
      </c>
      <c r="H11" s="7"/>
      <c r="I11" s="7">
        <f t="shared" si="1"/>
        <v>-18539530.004999999</v>
      </c>
      <c r="J11" s="4"/>
    </row>
    <row r="12" spans="1:10" x14ac:dyDescent="0.25">
      <c r="A12" s="10"/>
      <c r="E12" s="4"/>
      <c r="F12" s="4"/>
      <c r="G12" s="4"/>
      <c r="H12" s="4"/>
      <c r="I12" s="4"/>
      <c r="J12" s="4"/>
    </row>
    <row r="13" spans="1:10" x14ac:dyDescent="0.25">
      <c r="A13" s="10">
        <v>4</v>
      </c>
      <c r="B13" t="s">
        <v>22</v>
      </c>
      <c r="E13" s="18">
        <v>0.75077499999999997</v>
      </c>
      <c r="F13" s="18"/>
      <c r="G13" s="18">
        <v>0.75077499999999997</v>
      </c>
      <c r="H13" s="18"/>
      <c r="I13" s="18">
        <v>0.75077499999999997</v>
      </c>
      <c r="J13" s="17"/>
    </row>
    <row r="14" spans="1:10" x14ac:dyDescent="0.25">
      <c r="A14" s="10"/>
      <c r="E14" s="4"/>
      <c r="F14" s="4"/>
      <c r="G14" s="4"/>
      <c r="H14" s="4"/>
      <c r="I14" s="4"/>
      <c r="J14" s="4"/>
    </row>
    <row r="15" spans="1:10" ht="17.25" x14ac:dyDescent="0.4">
      <c r="A15" s="10">
        <v>5</v>
      </c>
      <c r="B15" t="s">
        <v>23</v>
      </c>
      <c r="E15" s="12">
        <f>+E11/E13</f>
        <v>-18870221.317971431</v>
      </c>
      <c r="F15" s="12"/>
      <c r="G15" s="12">
        <f t="shared" ref="G15:I15" si="2">+G11/G13</f>
        <v>-20540223.602277648</v>
      </c>
      <c r="H15" s="12"/>
      <c r="I15" s="12">
        <f t="shared" si="2"/>
        <v>-24693856.35509973</v>
      </c>
      <c r="J15" s="7"/>
    </row>
    <row r="16" spans="1:10" x14ac:dyDescent="0.25">
      <c r="A16" s="10"/>
      <c r="E16" s="22"/>
      <c r="F16" s="22"/>
      <c r="G16" s="22"/>
      <c r="H16" s="22"/>
      <c r="I16" s="22"/>
      <c r="J16" s="4"/>
    </row>
    <row r="17" spans="2:10" x14ac:dyDescent="0.25">
      <c r="E17" s="4"/>
      <c r="F17" s="4"/>
      <c r="G17" s="4"/>
      <c r="H17" s="4"/>
      <c r="I17" s="4"/>
      <c r="J17" s="4"/>
    </row>
    <row r="18" spans="2:10" x14ac:dyDescent="0.25">
      <c r="B18" t="s">
        <v>4</v>
      </c>
    </row>
    <row r="19" spans="2:10" x14ac:dyDescent="0.25">
      <c r="B19" t="s">
        <v>60</v>
      </c>
    </row>
    <row r="20" spans="2:10" x14ac:dyDescent="0.25">
      <c r="B20" t="s">
        <v>61</v>
      </c>
    </row>
    <row r="21" spans="2:10" x14ac:dyDescent="0.25">
      <c r="B21" t="s">
        <v>24</v>
      </c>
    </row>
    <row r="22" spans="2:10" x14ac:dyDescent="0.25">
      <c r="B22" t="s">
        <v>25</v>
      </c>
    </row>
    <row r="23" spans="2:10" x14ac:dyDescent="0.25">
      <c r="B23" t="s">
        <v>139</v>
      </c>
    </row>
    <row r="24" spans="2:10" x14ac:dyDescent="0.25">
      <c r="B24" t="s">
        <v>26</v>
      </c>
    </row>
  </sheetData>
  <pageMargins left="0.7" right="0.7" top="0.75" bottom="0.7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7808-7D49-4AA6-AE22-20845531AA71}">
  <sheetPr>
    <pageSetUpPr fitToPage="1"/>
  </sheetPr>
  <dimension ref="B1:K32"/>
  <sheetViews>
    <sheetView workbookViewId="0">
      <selection activeCell="C30" sqref="C30"/>
    </sheetView>
  </sheetViews>
  <sheetFormatPr defaultRowHeight="15" x14ac:dyDescent="0.25"/>
  <cols>
    <col min="3" max="3" width="20.7109375" customWidth="1"/>
    <col min="6" max="6" width="9.28515625" bestFit="1" customWidth="1"/>
    <col min="7" max="7" width="5.7109375" customWidth="1"/>
    <col min="8" max="8" width="13.7109375" bestFit="1" customWidth="1"/>
    <col min="9" max="9" width="5.7109375" customWidth="1"/>
    <col min="10" max="10" width="13.7109375" bestFit="1" customWidth="1"/>
  </cols>
  <sheetData>
    <row r="1" spans="2:11" x14ac:dyDescent="0.25">
      <c r="C1" s="21"/>
      <c r="D1" s="21"/>
      <c r="E1" s="21"/>
      <c r="F1" s="21"/>
      <c r="G1" s="21"/>
      <c r="H1" s="21"/>
      <c r="I1" s="21"/>
      <c r="J1" s="21" t="s">
        <v>126</v>
      </c>
      <c r="K1" s="21"/>
    </row>
    <row r="2" spans="2:11" x14ac:dyDescent="0.25">
      <c r="C2" s="21" t="s">
        <v>6</v>
      </c>
      <c r="D2" s="21"/>
      <c r="E2" s="21"/>
      <c r="F2" s="21"/>
      <c r="G2" s="21"/>
      <c r="H2" s="21"/>
      <c r="I2" s="21"/>
      <c r="J2" s="21" t="s">
        <v>105</v>
      </c>
      <c r="K2" s="21"/>
    </row>
    <row r="3" spans="2:11" x14ac:dyDescent="0.25">
      <c r="C3" s="21" t="s">
        <v>104</v>
      </c>
      <c r="D3" s="21"/>
      <c r="E3" s="21"/>
      <c r="F3" s="21"/>
      <c r="G3" s="21"/>
      <c r="H3" s="21"/>
      <c r="I3" s="21"/>
      <c r="J3" s="21"/>
      <c r="K3" s="21"/>
    </row>
    <row r="5" spans="2:11" x14ac:dyDescent="0.25">
      <c r="F5" s="5">
        <v>2023</v>
      </c>
      <c r="G5" s="5"/>
      <c r="H5" s="5">
        <v>2024</v>
      </c>
      <c r="I5" s="5"/>
      <c r="J5" s="5">
        <v>2025</v>
      </c>
      <c r="K5" s="5"/>
    </row>
    <row r="7" spans="2:11" x14ac:dyDescent="0.25">
      <c r="B7" s="10">
        <v>1</v>
      </c>
      <c r="C7" t="s">
        <v>19</v>
      </c>
      <c r="F7" s="7">
        <v>0</v>
      </c>
      <c r="G7" s="7"/>
      <c r="H7" s="7">
        <v>-170982837</v>
      </c>
      <c r="I7" s="7"/>
      <c r="J7" s="7">
        <v>-231456405</v>
      </c>
      <c r="K7" s="7"/>
    </row>
    <row r="8" spans="2:11" x14ac:dyDescent="0.25">
      <c r="B8" s="10"/>
      <c r="F8" s="1"/>
    </row>
    <row r="9" spans="2:11" x14ac:dyDescent="0.25">
      <c r="B9" s="10">
        <v>2</v>
      </c>
      <c r="C9" t="s">
        <v>117</v>
      </c>
      <c r="F9" s="13">
        <v>6.83E-2</v>
      </c>
      <c r="G9" s="15"/>
      <c r="H9" s="13">
        <v>6.83E-2</v>
      </c>
      <c r="I9" s="15"/>
      <c r="J9" s="13">
        <v>6.83E-2</v>
      </c>
    </row>
    <row r="10" spans="2:11" x14ac:dyDescent="0.25">
      <c r="B10" s="10"/>
      <c r="F10" s="1"/>
      <c r="H10" s="1"/>
      <c r="J10" s="1"/>
    </row>
    <row r="11" spans="2:11" x14ac:dyDescent="0.25">
      <c r="B11" s="10">
        <v>3</v>
      </c>
      <c r="C11" t="s">
        <v>9</v>
      </c>
      <c r="F11" s="7">
        <f>+F7*F9</f>
        <v>0</v>
      </c>
      <c r="G11" s="7"/>
      <c r="H11" s="7">
        <f>+H7*H9</f>
        <v>-11678127.767100001</v>
      </c>
      <c r="I11" s="7"/>
      <c r="J11" s="7">
        <f>+J7*J9</f>
        <v>-15808472.4615</v>
      </c>
      <c r="K11" s="7"/>
    </row>
    <row r="12" spans="2:11" x14ac:dyDescent="0.25">
      <c r="B12" s="10"/>
      <c r="F12" s="7"/>
      <c r="G12" s="7"/>
      <c r="H12" s="7"/>
      <c r="I12" s="7"/>
      <c r="J12" s="7"/>
      <c r="K12" s="7"/>
    </row>
    <row r="13" spans="2:11" x14ac:dyDescent="0.25">
      <c r="B13" s="10">
        <v>4</v>
      </c>
      <c r="C13" t="s">
        <v>102</v>
      </c>
      <c r="F13" s="6">
        <f>+F7*0.0256*0.21</f>
        <v>0</v>
      </c>
      <c r="G13" s="6"/>
      <c r="H13" s="6">
        <f>+H7*0.0256*0.21</f>
        <v>-919203.73171199998</v>
      </c>
      <c r="I13" s="6"/>
      <c r="J13" s="6">
        <f>+J7*0.0256*0.21</f>
        <v>-1244309.63328</v>
      </c>
      <c r="K13" s="4"/>
    </row>
    <row r="14" spans="2:11" x14ac:dyDescent="0.25">
      <c r="B14" s="10"/>
      <c r="F14" s="7"/>
      <c r="G14" s="7"/>
      <c r="H14" s="7"/>
      <c r="I14" s="7"/>
      <c r="J14" s="7"/>
      <c r="K14" s="7"/>
    </row>
    <row r="15" spans="2:11" x14ac:dyDescent="0.25">
      <c r="B15" s="10">
        <v>5</v>
      </c>
      <c r="C15" t="s">
        <v>92</v>
      </c>
      <c r="F15" s="7">
        <f>+F11-F13</f>
        <v>0</v>
      </c>
      <c r="G15" s="7"/>
      <c r="H15" s="7">
        <f>+H11-H13</f>
        <v>-10758924.035388</v>
      </c>
      <c r="I15" s="7"/>
      <c r="J15" s="7">
        <f>+J11-J13</f>
        <v>-14564162.82822</v>
      </c>
      <c r="K15" s="7"/>
    </row>
    <row r="16" spans="2:11" x14ac:dyDescent="0.25">
      <c r="B16" s="10"/>
    </row>
    <row r="17" spans="2:11" x14ac:dyDescent="0.25">
      <c r="B17" s="10">
        <v>6</v>
      </c>
      <c r="C17" t="s">
        <v>93</v>
      </c>
      <c r="F17" s="15">
        <v>0.75077499999999997</v>
      </c>
      <c r="G17" s="15"/>
      <c r="H17" s="15">
        <v>0.75077499999999997</v>
      </c>
      <c r="I17" s="15"/>
      <c r="J17" s="15">
        <v>0.75077499999999997</v>
      </c>
    </row>
    <row r="18" spans="2:11" x14ac:dyDescent="0.25">
      <c r="B18" s="10"/>
      <c r="F18" s="30"/>
      <c r="G18" s="30"/>
      <c r="H18" s="30"/>
      <c r="I18" s="30"/>
      <c r="J18" s="30"/>
      <c r="K18" s="30"/>
    </row>
    <row r="19" spans="2:11" x14ac:dyDescent="0.25">
      <c r="B19" s="10">
        <v>7</v>
      </c>
      <c r="C19" t="s">
        <v>103</v>
      </c>
      <c r="F19" s="29">
        <f>+F15/F17</f>
        <v>0</v>
      </c>
      <c r="G19" s="29"/>
      <c r="H19" s="29">
        <f>+H15/H17</f>
        <v>-14330423.942443475</v>
      </c>
      <c r="I19" s="29"/>
      <c r="J19" s="29">
        <f>+J15/J17</f>
        <v>-19398838.3047118</v>
      </c>
      <c r="K19" s="26"/>
    </row>
    <row r="21" spans="2:11" ht="17.25" x14ac:dyDescent="0.4">
      <c r="B21" s="10">
        <v>8</v>
      </c>
      <c r="C21" t="s">
        <v>111</v>
      </c>
      <c r="F21" s="12">
        <f>+F19</f>
        <v>0</v>
      </c>
      <c r="G21" s="25"/>
      <c r="H21" s="12">
        <f>+H19+F21</f>
        <v>-14330423.942443475</v>
      </c>
      <c r="I21" s="25"/>
      <c r="J21" s="12">
        <f>+J19+H21</f>
        <v>-33729262.247155279</v>
      </c>
    </row>
    <row r="24" spans="2:11" x14ac:dyDescent="0.25">
      <c r="C24" t="s">
        <v>4</v>
      </c>
    </row>
    <row r="25" spans="2:11" x14ac:dyDescent="0.25">
      <c r="C25" t="s">
        <v>143</v>
      </c>
    </row>
    <row r="26" spans="2:11" x14ac:dyDescent="0.25">
      <c r="C26" t="s">
        <v>62</v>
      </c>
    </row>
    <row r="27" spans="2:11" x14ac:dyDescent="0.25">
      <c r="C27" t="s">
        <v>94</v>
      </c>
    </row>
    <row r="28" spans="2:11" x14ac:dyDescent="0.25">
      <c r="C28" t="s">
        <v>119</v>
      </c>
    </row>
    <row r="29" spans="2:11" x14ac:dyDescent="0.25">
      <c r="C29" t="s">
        <v>106</v>
      </c>
    </row>
    <row r="30" spans="2:11" x14ac:dyDescent="0.25">
      <c r="C30" t="s">
        <v>142</v>
      </c>
    </row>
    <row r="31" spans="2:11" x14ac:dyDescent="0.25">
      <c r="C31" t="s">
        <v>112</v>
      </c>
    </row>
    <row r="32" spans="2:11" x14ac:dyDescent="0.25">
      <c r="C32" t="s">
        <v>120</v>
      </c>
    </row>
  </sheetData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1186-EE72-4D3D-B877-F2657E6CFABD}">
  <sheetPr>
    <pageSetUpPr fitToPage="1"/>
  </sheetPr>
  <dimension ref="B1:K33"/>
  <sheetViews>
    <sheetView workbookViewId="0">
      <selection activeCell="C31" sqref="C31"/>
    </sheetView>
  </sheetViews>
  <sheetFormatPr defaultRowHeight="15" x14ac:dyDescent="0.25"/>
  <cols>
    <col min="3" max="3" width="20.7109375" customWidth="1"/>
    <col min="6" max="6" width="14.7109375" customWidth="1"/>
    <col min="7" max="7" width="5.7109375" customWidth="1"/>
    <col min="8" max="8" width="12.5703125" bestFit="1" customWidth="1"/>
    <col min="9" max="9" width="5.7109375" customWidth="1"/>
    <col min="10" max="10" width="12.7109375" customWidth="1"/>
    <col min="18" max="18" width="20.7109375" customWidth="1"/>
  </cols>
  <sheetData>
    <row r="1" spans="2:11" x14ac:dyDescent="0.25">
      <c r="C1" s="21"/>
      <c r="D1" s="21"/>
      <c r="E1" s="21"/>
      <c r="F1" s="21"/>
      <c r="G1" s="21"/>
      <c r="H1" s="21"/>
      <c r="I1" s="21"/>
      <c r="J1" s="21"/>
      <c r="K1" s="21"/>
    </row>
    <row r="2" spans="2:11" x14ac:dyDescent="0.25">
      <c r="C2" s="21"/>
      <c r="D2" s="21"/>
      <c r="E2" s="21"/>
      <c r="F2" s="21"/>
      <c r="G2" s="21"/>
      <c r="H2" s="21"/>
      <c r="I2" s="21"/>
      <c r="J2" s="21" t="s">
        <v>126</v>
      </c>
      <c r="K2" s="21"/>
    </row>
    <row r="3" spans="2:11" x14ac:dyDescent="0.25">
      <c r="C3" s="21" t="s">
        <v>6</v>
      </c>
      <c r="D3" s="21"/>
      <c r="E3" s="21"/>
      <c r="F3" s="21"/>
      <c r="G3" s="21"/>
      <c r="H3" s="21"/>
      <c r="I3" s="21"/>
      <c r="J3" s="21" t="s">
        <v>108</v>
      </c>
      <c r="K3" s="21"/>
    </row>
    <row r="4" spans="2:11" x14ac:dyDescent="0.25">
      <c r="C4" s="21" t="s">
        <v>107</v>
      </c>
      <c r="D4" s="21"/>
      <c r="E4" s="21"/>
      <c r="F4" s="21"/>
      <c r="G4" s="21"/>
      <c r="H4" s="21"/>
      <c r="I4" s="21"/>
      <c r="J4" s="21"/>
      <c r="K4" s="21"/>
    </row>
    <row r="6" spans="2:11" x14ac:dyDescent="0.25">
      <c r="F6" s="5">
        <v>2023</v>
      </c>
      <c r="G6" s="5"/>
      <c r="H6" s="5">
        <v>2024</v>
      </c>
      <c r="I6" s="5"/>
      <c r="J6" s="5">
        <v>2025</v>
      </c>
      <c r="K6" s="5"/>
    </row>
    <row r="8" spans="2:11" x14ac:dyDescent="0.25">
      <c r="B8" s="10">
        <v>1</v>
      </c>
      <c r="C8" t="s">
        <v>19</v>
      </c>
      <c r="F8" s="7">
        <v>0</v>
      </c>
      <c r="G8" s="7"/>
      <c r="H8" s="7">
        <v>-52438841</v>
      </c>
      <c r="I8" s="7"/>
      <c r="J8" s="7">
        <v>-13517700</v>
      </c>
      <c r="K8" s="7"/>
    </row>
    <row r="9" spans="2:11" x14ac:dyDescent="0.25">
      <c r="B9" s="10"/>
      <c r="F9" s="1"/>
    </row>
    <row r="10" spans="2:11" x14ac:dyDescent="0.25">
      <c r="B10" s="10">
        <v>2</v>
      </c>
      <c r="C10" t="s">
        <v>117</v>
      </c>
      <c r="F10" s="13">
        <v>6.83E-2</v>
      </c>
      <c r="G10" s="15"/>
      <c r="H10" s="13">
        <v>6.83E-2</v>
      </c>
      <c r="I10" s="15"/>
      <c r="J10" s="13">
        <v>6.83E-2</v>
      </c>
    </row>
    <row r="11" spans="2:11" x14ac:dyDescent="0.25">
      <c r="B11" s="10"/>
      <c r="F11" s="1"/>
      <c r="H11" s="1"/>
      <c r="J11" s="1"/>
    </row>
    <row r="12" spans="2:11" x14ac:dyDescent="0.25">
      <c r="B12" s="10">
        <v>3</v>
      </c>
      <c r="C12" t="s">
        <v>9</v>
      </c>
      <c r="F12" s="7">
        <f>+F8*F10</f>
        <v>0</v>
      </c>
      <c r="G12" s="7"/>
      <c r="H12" s="7">
        <f>+H8*H10</f>
        <v>-3581572.8402999998</v>
      </c>
      <c r="I12" s="7"/>
      <c r="J12" s="7">
        <f>+J8*J10</f>
        <v>-923258.91</v>
      </c>
      <c r="K12" s="7"/>
    </row>
    <row r="13" spans="2:11" x14ac:dyDescent="0.25">
      <c r="B13" s="10"/>
      <c r="F13" s="7"/>
      <c r="G13" s="7"/>
      <c r="H13" s="7"/>
      <c r="I13" s="7"/>
      <c r="J13" s="7"/>
      <c r="K13" s="7"/>
    </row>
    <row r="14" spans="2:11" x14ac:dyDescent="0.25">
      <c r="B14" s="10">
        <v>4</v>
      </c>
      <c r="C14" t="s">
        <v>102</v>
      </c>
      <c r="F14" s="6">
        <f>+F8*0.0256*0.21</f>
        <v>0</v>
      </c>
      <c r="G14" s="6"/>
      <c r="H14" s="6">
        <f>+H8*0.0256*0.21</f>
        <v>-281911.20921599999</v>
      </c>
      <c r="I14" s="6"/>
      <c r="J14" s="6">
        <f>+J8*0.0256*0.21</f>
        <v>-72671.155199999994</v>
      </c>
      <c r="K14" s="4"/>
    </row>
    <row r="15" spans="2:11" x14ac:dyDescent="0.25">
      <c r="B15" s="10"/>
      <c r="F15" s="7"/>
      <c r="G15" s="7"/>
      <c r="H15" s="7"/>
      <c r="I15" s="7"/>
      <c r="J15" s="7"/>
      <c r="K15" s="7"/>
    </row>
    <row r="16" spans="2:11" x14ac:dyDescent="0.25">
      <c r="B16" s="10">
        <v>5</v>
      </c>
      <c r="C16" t="s">
        <v>92</v>
      </c>
      <c r="F16" s="7">
        <f>+F12-F14</f>
        <v>0</v>
      </c>
      <c r="G16" s="7"/>
      <c r="H16" s="7">
        <f>+H12-H14</f>
        <v>-3299661.6310839998</v>
      </c>
      <c r="I16" s="7"/>
      <c r="J16" s="7">
        <f>+J12-J14</f>
        <v>-850587.7548</v>
      </c>
      <c r="K16" s="7"/>
    </row>
    <row r="17" spans="2:11" x14ac:dyDescent="0.25">
      <c r="B17" s="10"/>
    </row>
    <row r="18" spans="2:11" x14ac:dyDescent="0.25">
      <c r="B18" s="10">
        <v>6</v>
      </c>
      <c r="C18" t="s">
        <v>93</v>
      </c>
      <c r="F18" s="15">
        <v>0.75077499999999997</v>
      </c>
      <c r="G18" s="15"/>
      <c r="H18" s="15">
        <v>0.75077499999999997</v>
      </c>
      <c r="I18" s="15"/>
      <c r="J18" s="15">
        <v>0.75077499999999997</v>
      </c>
    </row>
    <row r="19" spans="2:11" x14ac:dyDescent="0.25">
      <c r="B19" s="10"/>
    </row>
    <row r="20" spans="2:11" x14ac:dyDescent="0.25">
      <c r="B20" s="10">
        <v>7</v>
      </c>
      <c r="C20" t="s">
        <v>103</v>
      </c>
      <c r="F20" s="29">
        <f>+F16/F18</f>
        <v>0</v>
      </c>
      <c r="G20" s="29"/>
      <c r="H20" s="29">
        <f>+H16/H18</f>
        <v>-4395007.3338670041</v>
      </c>
      <c r="I20" s="29"/>
      <c r="J20" s="29">
        <f>+J16/J18</f>
        <v>-1132946.2952282641</v>
      </c>
      <c r="K20" s="26"/>
    </row>
    <row r="22" spans="2:11" ht="17.25" x14ac:dyDescent="0.4">
      <c r="B22" s="10">
        <v>8</v>
      </c>
      <c r="C22" t="s">
        <v>111</v>
      </c>
      <c r="F22" s="12">
        <f>+F20</f>
        <v>0</v>
      </c>
      <c r="G22" s="25"/>
      <c r="H22" s="12">
        <f>+H20+F22</f>
        <v>-4395007.3338670041</v>
      </c>
      <c r="I22" s="25"/>
      <c r="J22" s="12">
        <f>+J20+H22</f>
        <v>-5527953.6290952684</v>
      </c>
    </row>
    <row r="23" spans="2:11" ht="17.25" x14ac:dyDescent="0.4">
      <c r="B23" s="10"/>
      <c r="F23" s="12"/>
      <c r="G23" s="25"/>
      <c r="H23" s="12"/>
      <c r="I23" s="25"/>
      <c r="J23" s="12"/>
    </row>
    <row r="24" spans="2:11" ht="17.25" x14ac:dyDescent="0.4">
      <c r="B24" s="10"/>
      <c r="F24" s="12"/>
      <c r="G24" s="25"/>
      <c r="H24" s="12"/>
      <c r="I24" s="25"/>
      <c r="J24" s="12"/>
    </row>
    <row r="25" spans="2:11" x14ac:dyDescent="0.25">
      <c r="C25" t="s">
        <v>4</v>
      </c>
    </row>
    <row r="26" spans="2:11" x14ac:dyDescent="0.25">
      <c r="C26" t="s">
        <v>144</v>
      </c>
    </row>
    <row r="27" spans="2:11" x14ac:dyDescent="0.25">
      <c r="C27" t="s">
        <v>62</v>
      </c>
    </row>
    <row r="28" spans="2:11" x14ac:dyDescent="0.25">
      <c r="C28" t="s">
        <v>94</v>
      </c>
    </row>
    <row r="29" spans="2:11" x14ac:dyDescent="0.25">
      <c r="C29" t="s">
        <v>119</v>
      </c>
    </row>
    <row r="30" spans="2:11" x14ac:dyDescent="0.25">
      <c r="C30" t="s">
        <v>106</v>
      </c>
    </row>
    <row r="31" spans="2:11" x14ac:dyDescent="0.25">
      <c r="C31" t="s">
        <v>142</v>
      </c>
    </row>
    <row r="32" spans="2:11" x14ac:dyDescent="0.25">
      <c r="C32" t="s">
        <v>112</v>
      </c>
    </row>
    <row r="33" spans="3:3" x14ac:dyDescent="0.25">
      <c r="C33" t="s">
        <v>120</v>
      </c>
    </row>
  </sheetData>
  <pageMargins left="0.7" right="0.7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4ACDD17-9090-437A-82EB-0E7A51089F16}"/>
</file>

<file path=customXml/itemProps2.xml><?xml version="1.0" encoding="utf-8"?>
<ds:datastoreItem xmlns:ds="http://schemas.openxmlformats.org/officeDocument/2006/customXml" ds:itemID="{1724AE38-B935-457D-9E67-2C74BD56E64C}"/>
</file>

<file path=customXml/itemProps3.xml><?xml version="1.0" encoding="utf-8"?>
<ds:datastoreItem xmlns:ds="http://schemas.openxmlformats.org/officeDocument/2006/customXml" ds:itemID="{D49DA83F-CB5E-4EAB-959D-89C566A6E965}"/>
</file>

<file path=customXml/itemProps4.xml><?xml version="1.0" encoding="utf-8"?>
<ds:datastoreItem xmlns:ds="http://schemas.openxmlformats.org/officeDocument/2006/customXml" ds:itemID="{684F10FB-140F-4B05-BA45-1AD16A91F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Summary</vt:lpstr>
      <vt:lpstr>ROR</vt:lpstr>
      <vt:lpstr>Depreciation</vt:lpstr>
      <vt:lpstr>AMI</vt:lpstr>
      <vt:lpstr>AMI Amort</vt:lpstr>
      <vt:lpstr>Covid</vt:lpstr>
      <vt:lpstr>O&amp;M</vt:lpstr>
      <vt:lpstr>Programmatic</vt:lpstr>
      <vt:lpstr>Projected</vt:lpstr>
      <vt:lpstr>Specific</vt:lpstr>
      <vt:lpstr>Margin</vt:lpstr>
      <vt:lpstr>Storms</vt:lpstr>
      <vt:lpstr>AMI!Print_Area</vt:lpstr>
      <vt:lpstr>'AMI Amort'!Print_Area</vt:lpstr>
      <vt:lpstr>Covid!Print_Area</vt:lpstr>
      <vt:lpstr>Depreciation!Print_Area</vt:lpstr>
      <vt:lpstr>Margin!Print_Area</vt:lpstr>
      <vt:lpstr>'O&amp;M'!Print_Area</vt:lpstr>
      <vt:lpstr>Programmatic!Print_Area</vt:lpstr>
      <vt:lpstr>Projected!Print_Area</vt:lpstr>
      <vt:lpstr>ROR!Print_Area</vt:lpstr>
      <vt:lpstr>Specific!Print_Area</vt:lpstr>
      <vt:lpstr>Storms!Print_Area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2022-07-14T21:42:18Z</cp:lastPrinted>
  <dcterms:created xsi:type="dcterms:W3CDTF">2022-07-06T14:01:59Z</dcterms:created>
  <dcterms:modified xsi:type="dcterms:W3CDTF">2022-07-14T21:42:22Z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