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5F1DDE4-45CB-4616-835B-C06675EF3C49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18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E7" i="4" l="1"/>
  <c r="E6" i="4"/>
  <c r="E5" i="4"/>
  <c r="E4" i="4" l="1"/>
  <c r="C4" i="4"/>
  <c r="C3" i="4"/>
  <c r="C7" i="4" s="1"/>
  <c r="C5" i="4" l="1"/>
  <c r="C6" i="4"/>
  <c r="B45" i="4"/>
  <c r="H1" i="3"/>
  <c r="B38" i="4" l="1"/>
  <c r="B39" i="4"/>
  <c r="B42" i="4"/>
  <c r="B41" i="4"/>
  <c r="B1" i="4" l="1"/>
  <c r="A19" i="3"/>
  <c r="K1" i="3"/>
  <c r="K2" i="3" l="1"/>
  <c r="B16" i="3"/>
  <c r="D16" i="3" s="1"/>
  <c r="E14" i="1"/>
  <c r="E11" i="1"/>
  <c r="E12" i="1"/>
  <c r="E13" i="1"/>
  <c r="E10" i="1"/>
  <c r="H10" i="1" l="1"/>
  <c r="B36" i="4" l="1"/>
  <c r="B8" i="3"/>
  <c r="G2" i="3"/>
  <c r="B1" i="3"/>
  <c r="B3" i="3"/>
  <c r="D2" i="4"/>
  <c r="B3" i="4"/>
  <c r="F17" i="3" l="1"/>
  <c r="B40" i="4"/>
  <c r="B28" i="4" l="1"/>
  <c r="B21" i="4"/>
  <c r="B14" i="4"/>
  <c r="B5" i="4" l="1"/>
  <c r="B4" i="4"/>
  <c r="B4" i="3" l="1"/>
  <c r="B10" i="3"/>
  <c r="C4" i="3" l="1"/>
  <c r="B35" i="4"/>
  <c r="B30" i="4" l="1"/>
  <c r="B6" i="4" l="1"/>
  <c r="C12" i="3" l="1"/>
  <c r="D4" i="3"/>
  <c r="B37" i="4" l="1"/>
  <c r="B34" i="4" l="1"/>
  <c r="B9" i="4"/>
  <c r="B10" i="4"/>
  <c r="B11" i="4"/>
  <c r="B12" i="4"/>
  <c r="B13" i="4"/>
  <c r="B15" i="4"/>
  <c r="B16" i="4"/>
  <c r="B17" i="4"/>
  <c r="B18" i="4"/>
  <c r="B19" i="4"/>
  <c r="B20" i="4"/>
  <c r="B22" i="4"/>
  <c r="B23" i="4"/>
  <c r="B24" i="4"/>
  <c r="B25" i="4"/>
  <c r="B26" i="4"/>
  <c r="B27" i="4"/>
  <c r="B29" i="4"/>
  <c r="B31" i="4"/>
  <c r="B32" i="4"/>
  <c r="B33" i="4"/>
  <c r="B8" i="4"/>
  <c r="B7" i="4"/>
  <c r="B43" i="4" s="1"/>
  <c r="B14" i="3"/>
  <c r="C14" i="3" s="1"/>
  <c r="B13" i="3"/>
  <c r="C13" i="3" s="1"/>
  <c r="B11" i="3"/>
  <c r="C11" i="3" s="1"/>
  <c r="C10" i="3"/>
  <c r="B9" i="3"/>
  <c r="C9" i="3" s="1"/>
  <c r="B7" i="3"/>
  <c r="C7" i="3" s="1"/>
  <c r="C8" i="3"/>
  <c r="B5" i="3"/>
  <c r="B6" i="3"/>
  <c r="C6" i="3" s="1"/>
  <c r="E20" i="1" l="1"/>
  <c r="B17" i="3"/>
  <c r="C5" i="3"/>
  <c r="B19" i="3"/>
  <c r="G43" i="4" l="1"/>
  <c r="E21" i="1" l="1"/>
  <c r="E8" i="4" l="1"/>
  <c r="E11" i="4"/>
  <c r="E12" i="4"/>
  <c r="E15" i="4"/>
  <c r="E16" i="4"/>
  <c r="E19" i="4"/>
  <c r="E20" i="4"/>
  <c r="E23" i="4"/>
  <c r="E24" i="4"/>
  <c r="E27" i="4"/>
  <c r="E28" i="4"/>
  <c r="E31" i="4"/>
  <c r="E32" i="4"/>
  <c r="E34" i="4"/>
  <c r="E35" i="4"/>
  <c r="E36" i="4"/>
  <c r="E39" i="4"/>
  <c r="E40" i="4"/>
  <c r="E9" i="4"/>
  <c r="E10" i="4"/>
  <c r="E13" i="4"/>
  <c r="E14" i="4"/>
  <c r="E17" i="4"/>
  <c r="E18" i="4"/>
  <c r="E21" i="4"/>
  <c r="E22" i="4"/>
  <c r="E25" i="4"/>
  <c r="E26" i="4"/>
  <c r="E29" i="4"/>
  <c r="E30" i="4"/>
  <c r="E33" i="4"/>
  <c r="E37" i="4"/>
  <c r="E38" i="4"/>
  <c r="D5" i="3"/>
  <c r="D6" i="3"/>
  <c r="D7" i="3"/>
  <c r="D8" i="3"/>
  <c r="D9" i="3"/>
  <c r="D10" i="3"/>
  <c r="D11" i="3"/>
  <c r="D12" i="3"/>
  <c r="D13" i="3"/>
  <c r="D14" i="3"/>
  <c r="D17" i="3" l="1"/>
  <c r="E43" i="4"/>
  <c r="G20" i="1" s="1"/>
  <c r="I20" i="1" s="1"/>
  <c r="I22" i="1" s="1"/>
  <c r="E5" i="1"/>
  <c r="H12" i="1" l="1"/>
  <c r="H13" i="1"/>
  <c r="H14" i="1"/>
  <c r="H24" i="1" l="1"/>
  <c r="H11" i="1" l="1"/>
  <c r="G21" i="1" l="1"/>
  <c r="G22" i="1" s="1"/>
  <c r="H22" i="1" s="1"/>
  <c r="F21" i="1" l="1"/>
  <c r="F20" i="1"/>
</calcChain>
</file>

<file path=xl/sharedStrings.xml><?xml version="1.0" encoding="utf-8"?>
<sst xmlns="http://schemas.openxmlformats.org/spreadsheetml/2006/main" count="157" uniqueCount="114">
  <si>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</si>
  <si>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</si>
  <si>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</si>
  <si>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</si>
  <si>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</si>
  <si>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</si>
  <si>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</si>
  <si>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</si>
  <si>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</si>
  <si>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</si>
  <si>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</si>
  <si>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</si>
  <si>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</si>
  <si>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</si>
  <si>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</si>
  <si>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</si>
  <si>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</si>
  <si>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</si>
  <si>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</si>
  <si>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</si>
  <si>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</si>
  <si>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</si>
  <si>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</si>
  <si>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</si>
  <si>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</si>
  <si>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</si>
  <si>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</si>
  <si>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</si>
  <si>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</si>
  <si>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</si>
  <si>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</si>
  <si>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</si>
  <si>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</si>
  <si>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</si>
  <si>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</si>
  <si>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</si>
  <si>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</si>
  <si>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</si>
  <si>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</si>
  <si>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</si>
  <si>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</si>
  <si>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</si>
  <si>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</si>
  <si>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</si>
  <si>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</si>
  <si>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</si>
  <si>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</si>
  <si>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</si>
  <si>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</si>
  <si>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</si>
  <si>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Douglas PUD Settlement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</si>
  <si>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</si>
  <si>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</si>
  <si>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</si>
  <si>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</si>
  <si>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</si>
  <si>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</si>
  <si>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</si>
  <si>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</si>
  <si>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</si>
  <si>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</si>
  <si>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</si>
  <si>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</si>
  <si>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</si>
  <si>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</si>
  <si>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</si>
  <si>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</si>
  <si>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</si>
  <si>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</si>
  <si>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</si>
  <si>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</si>
  <si>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</si>
  <si>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</si>
  <si>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</si>
  <si>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</si>
  <si>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</si>
  <si>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Douglas County PUD - Wells </t>
  </si>
  <si>
    <t>Grant PUD - Wanapum</t>
  </si>
  <si>
    <t>Grant PUD - Priest Rapids</t>
  </si>
  <si>
    <t>Yakima Tieton</t>
  </si>
  <si>
    <t>Coal</t>
  </si>
  <si>
    <t>Gas</t>
  </si>
  <si>
    <t>Wind</t>
  </si>
  <si>
    <t>Hydro</t>
  </si>
  <si>
    <t>Cogen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</si>
  <si>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</si>
  <si>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</si>
  <si>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</si>
  <si>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</si>
  <si>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</si>
  <si>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</si>
  <si>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</si>
  <si>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</si>
  <si>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Other Firm Purchases (1)</t>
  </si>
  <si>
    <t>(1) Third party imbalance , transmission losses, misc exchanges. Per FERC accounting booked to purchase power</t>
  </si>
  <si>
    <t xml:space="preserve">Hermiston </t>
  </si>
  <si>
    <t>CAGW</t>
  </si>
  <si>
    <t>CAEW</t>
  </si>
  <si>
    <t>WA Situs</t>
  </si>
  <si>
    <t>Annual (Unallocated) MWh 2017</t>
  </si>
  <si>
    <t>Annual (Unallocated) MWh 2018</t>
  </si>
  <si>
    <t>Updated 5/15/2019</t>
  </si>
  <si>
    <t>Summary Energy and Emissions Intensity Report - 2018</t>
  </si>
  <si>
    <t>2018 Washington - WCA Allocation Factor</t>
  </si>
  <si>
    <t>EIM Export/Sales</t>
  </si>
  <si>
    <r>
      <t xml:space="preserve">EIM </t>
    </r>
    <r>
      <rPr>
        <sz val="11"/>
        <rFont val="Calibri"/>
        <family val="2"/>
      </rPr>
      <t>Import/Purchase from PACE to PACW</t>
    </r>
  </si>
  <si>
    <t>Cowlitz Swift #2 - Purchase and Exchange Agreement</t>
  </si>
  <si>
    <t>SCL Stateline - Purchase and Exchange Agreement</t>
  </si>
  <si>
    <t>Dept. of Ecology Unspecified Electricity EF =</t>
  </si>
  <si>
    <t>MT CO2e / MWh</t>
  </si>
  <si>
    <t>MT to lbs Converstion</t>
  </si>
  <si>
    <t>Transmission Loss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</si>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</sst>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0.000%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4" fillId="0" borderId="0" applyFont="0" applyFill="0" applyBorder="0" applyProtection="0">
      <alignment horizontal="right"/>
    </xf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8" fontId="15" fillId="0" borderId="0" applyNumberFormat="0" applyFill="0" applyBorder="0" applyAlignment="0" applyProtection="0"/>
    <xf numFmtId="0" fontId="16" fillId="0" borderId="35" applyNumberFormat="0" applyBorder="0" applyAlignment="0"/>
    <xf numFmtId="12" fontId="13" fillId="3" borderId="20">
      <alignment horizontal="left"/>
    </xf>
    <xf numFmtId="37" fontId="16" fillId="4" borderId="0" applyNumberFormat="0" applyBorder="0" applyAlignment="0" applyProtection="0"/>
    <xf numFmtId="37" fontId="16" fillId="0" borderId="0"/>
    <xf numFmtId="3" fontId="17" fillId="5" borderId="36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/>
    <xf numFmtId="169" fontId="20" fillId="0" borderId="0"/>
    <xf numFmtId="0" fontId="19" fillId="0" borderId="0"/>
    <xf numFmtId="0" fontId="11" fillId="0" borderId="0"/>
    <xf numFmtId="0" fontId="1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Alignment="0" applyProtection="0"/>
    <xf numFmtId="0" fontId="18" fillId="0" borderId="0"/>
    <xf numFmtId="0" fontId="18" fillId="0" borderId="0"/>
    <xf numFmtId="0" fontId="1" fillId="0" borderId="0"/>
    <xf numFmtId="0" fontId="27" fillId="0" borderId="0" applyNumberFormat="0" applyFill="0" applyBorder="0" applyAlignment="0" applyProtection="0"/>
    <xf numFmtId="170" fontId="28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 applyNumberFormat="0" applyFill="0" applyBorder="0" applyAlignment="0">
      <protection locked="0"/>
    </xf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41" fontId="12" fillId="0" borderId="0"/>
    <xf numFmtId="43" fontId="1" fillId="0" borderId="0" applyFont="0" applyFill="0" applyBorder="0" applyAlignment="0" applyProtection="0"/>
    <xf numFmtId="0" fontId="18" fillId="0" borderId="0"/>
    <xf numFmtId="0" fontId="11" fillId="0" borderId="0">
      <alignment wrapText="1"/>
    </xf>
    <xf numFmtId="0" fontId="1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" fontId="4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0" fontId="43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7" fontId="11" fillId="0" borderId="0" applyFill="0" applyBorder="0" applyAlignment="0" applyProtection="0"/>
    <xf numFmtId="0" fontId="43" fillId="0" borderId="0"/>
    <xf numFmtId="5" fontId="43" fillId="0" borderId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43" fillId="0" borderId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7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33" borderId="0" applyNumberFormat="0" applyBorder="0" applyAlignment="0" applyProtection="0"/>
    <xf numFmtId="0" fontId="44" fillId="0" borderId="0"/>
    <xf numFmtId="0" fontId="13" fillId="0" borderId="40" applyNumberFormat="0" applyAlignment="0" applyProtection="0">
      <alignment horizontal="left" vertical="center"/>
    </xf>
    <xf numFmtId="0" fontId="13" fillId="0" borderId="34">
      <alignment horizontal="left"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6" fillId="34" borderId="2" applyNumberFormat="0" applyBorder="0" applyAlignment="0" applyProtection="0"/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16" fillId="0" borderId="35" applyNumberFormat="0" applyBorder="0" applyAlignment="0"/>
    <xf numFmtId="0" fontId="16" fillId="0" borderId="35" applyNumberFormat="0" applyBorder="0" applyAlignment="0"/>
    <xf numFmtId="0" fontId="16" fillId="0" borderId="35" applyNumberFormat="0" applyBorder="0" applyAlignment="0"/>
    <xf numFmtId="174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0" fontId="45" fillId="0" borderId="0"/>
    <xf numFmtId="0" fontId="11" fillId="0" borderId="0"/>
    <xf numFmtId="0" fontId="34" fillId="0" borderId="0"/>
    <xf numFmtId="37" fontId="43" fillId="0" borderId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43" fillId="0" borderId="0"/>
    <xf numFmtId="0" fontId="43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/>
    <xf numFmtId="37" fontId="47" fillId="35" borderId="0" applyNumberFormat="0" applyFont="0" applyBorder="0" applyAlignment="0" applyProtection="0"/>
    <xf numFmtId="176" fontId="11" fillId="0" borderId="4">
      <alignment horizontal="justify" vertical="top" wrapText="1"/>
    </xf>
    <xf numFmtId="0" fontId="32" fillId="0" borderId="2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3" fillId="0" borderId="41"/>
    <xf numFmtId="0" fontId="43" fillId="0" borderId="42"/>
    <xf numFmtId="38" fontId="18" fillId="0" borderId="43" applyFill="0" applyBorder="0" applyAlignment="0" applyProtection="0">
      <protection locked="0"/>
    </xf>
    <xf numFmtId="37" fontId="16" fillId="4" borderId="0" applyNumberFormat="0" applyBorder="0" applyAlignment="0" applyProtection="0"/>
    <xf numFmtId="37" fontId="16" fillId="4" borderId="0" applyNumberFormat="0" applyBorder="0" applyAlignment="0" applyProtection="0"/>
    <xf numFmtId="37" fontId="16" fillId="4" borderId="0" applyNumberFormat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13" xfId="0" applyBorder="1"/>
    <xf numFmtId="0" fontId="0" fillId="0" borderId="22" xfId="0" applyBorder="1"/>
    <xf numFmtId="0" fontId="10" fillId="0" borderId="0" xfId="0" applyFont="1"/>
    <xf numFmtId="0" fontId="0" fillId="0" borderId="23" xfId="0" applyBorder="1"/>
    <xf numFmtId="0" fontId="0" fillId="0" borderId="24" xfId="0" applyBorder="1"/>
    <xf numFmtId="0" fontId="0" fillId="2" borderId="25" xfId="0" applyFill="1" applyBorder="1"/>
    <xf numFmtId="0" fontId="0" fillId="2" borderId="28" xfId="0" applyFill="1" applyBorder="1"/>
    <xf numFmtId="165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9" xfId="0" applyBorder="1"/>
    <xf numFmtId="0" fontId="0" fillId="0" borderId="33" xfId="0" applyBorder="1"/>
    <xf numFmtId="166" fontId="0" fillId="0" borderId="19" xfId="2" applyNumberFormat="1" applyFont="1" applyBorder="1"/>
    <xf numFmtId="3" fontId="0" fillId="2" borderId="4" xfId="1" applyNumberFormat="1" applyFont="1" applyFill="1" applyBorder="1"/>
    <xf numFmtId="3" fontId="0" fillId="0" borderId="20" xfId="0" applyNumberForma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0" fillId="0" borderId="27" xfId="0" applyBorder="1"/>
    <xf numFmtId="165" fontId="0" fillId="0" borderId="0" xfId="0" applyNumberFormat="1"/>
    <xf numFmtId="0" fontId="0" fillId="0" borderId="37" xfId="0" applyBorder="1"/>
    <xf numFmtId="0" fontId="33" fillId="2" borderId="2" xfId="0" applyFont="1" applyFill="1" applyBorder="1"/>
    <xf numFmtId="165" fontId="33" fillId="2" borderId="2" xfId="1" applyNumberFormat="1" applyFont="1" applyFill="1" applyBorder="1"/>
    <xf numFmtId="165" fontId="0" fillId="0" borderId="0" xfId="0" applyNumberFormat="1" applyAlignment="1">
      <alignment horizontal="center"/>
    </xf>
    <xf numFmtId="165" fontId="33" fillId="2" borderId="2" xfId="1" applyNumberFormat="1" applyFont="1" applyFill="1" applyBorder="1" applyAlignment="1"/>
    <xf numFmtId="0" fontId="0" fillId="0" borderId="5" xfId="0" applyBorder="1"/>
    <xf numFmtId="165" fontId="0" fillId="0" borderId="6" xfId="1" applyNumberFormat="1" applyFont="1" applyBorder="1" applyAlignment="1"/>
    <xf numFmtId="165" fontId="0" fillId="0" borderId="38" xfId="1" applyNumberFormat="1" applyFont="1" applyBorder="1" applyAlignment="1"/>
    <xf numFmtId="165" fontId="0" fillId="0" borderId="6" xfId="0" applyNumberFormat="1" applyBorder="1"/>
    <xf numFmtId="165" fontId="33" fillId="0" borderId="2" xfId="1" applyNumberFormat="1" applyFont="1" applyBorder="1"/>
    <xf numFmtId="0" fontId="35" fillId="0" borderId="1" xfId="0" applyFont="1" applyBorder="1"/>
    <xf numFmtId="0" fontId="36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/>
    <xf numFmtId="165" fontId="33" fillId="0" borderId="2" xfId="1" applyNumberFormat="1" applyFont="1" applyBorder="1" applyAlignment="1"/>
    <xf numFmtId="1" fontId="33" fillId="0" borderId="2" xfId="0" applyNumberFormat="1" applyFont="1" applyBorder="1"/>
    <xf numFmtId="3" fontId="48" fillId="0" borderId="20" xfId="0" applyNumberFormat="1" applyFont="1" applyBorder="1" applyAlignment="1">
      <alignment horizontal="center"/>
    </xf>
    <xf numFmtId="43" fontId="2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29" xfId="0" applyNumberFormat="1" applyFont="1" applyBorder="1"/>
    <xf numFmtId="37" fontId="0" fillId="0" borderId="6" xfId="0" applyNumberFormat="1" applyBorder="1" applyAlignment="1">
      <alignment horizontal="center"/>
    </xf>
    <xf numFmtId="165" fontId="33" fillId="2" borderId="5" xfId="1" applyNumberFormat="1" applyFont="1" applyFill="1" applyBorder="1"/>
    <xf numFmtId="43" fontId="0" fillId="0" borderId="0" xfId="0" applyNumberFormat="1"/>
    <xf numFmtId="43" fontId="0" fillId="0" borderId="16" xfId="0" applyNumberFormat="1" applyBorder="1"/>
    <xf numFmtId="10" fontId="0" fillId="0" borderId="0" xfId="0" applyNumberFormat="1"/>
    <xf numFmtId="10" fontId="2" fillId="0" borderId="31" xfId="2" applyNumberFormat="1" applyFont="1" applyBorder="1" applyAlignment="1"/>
    <xf numFmtId="0" fontId="49" fillId="0" borderId="0" xfId="0" applyFont="1"/>
    <xf numFmtId="10" fontId="0" fillId="0" borderId="0" xfId="2" applyNumberFormat="1" applyFont="1" applyAlignment="1"/>
    <xf numFmtId="165" fontId="0" fillId="0" borderId="0" xfId="1" applyNumberFormat="1" applyFont="1"/>
    <xf numFmtId="171" fontId="33" fillId="36" borderId="0" xfId="31" applyNumberFormat="1" applyFont="1" applyFill="1" applyBorder="1" applyAlignment="1"/>
    <xf numFmtId="171" fontId="0" fillId="0" borderId="10" xfId="2" applyNumberFormat="1" applyFont="1" applyBorder="1"/>
    <xf numFmtId="171" fontId="0" fillId="0" borderId="22" xfId="2" applyNumberFormat="1" applyFont="1" applyBorder="1"/>
    <xf numFmtId="171" fontId="0" fillId="0" borderId="18" xfId="2" applyNumberFormat="1" applyFont="1" applyBorder="1"/>
    <xf numFmtId="0" fontId="0" fillId="0" borderId="44" xfId="0" applyBorder="1"/>
    <xf numFmtId="41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 applyBorder="1" applyAlignment="1"/>
    <xf numFmtId="165" fontId="0" fillId="0" borderId="0" xfId="1" applyNumberFormat="1" applyFont="1" applyBorder="1"/>
    <xf numFmtId="0" fontId="0" fillId="0" borderId="0" xfId="0" applyAlignment="1">
      <alignment horizontal="center" vertical="center" wrapText="1"/>
    </xf>
    <xf numFmtId="37" fontId="33" fillId="37" borderId="2" xfId="1" applyNumberFormat="1" applyFont="1" applyFill="1" applyBorder="1" applyAlignment="1">
      <alignment horizontal="center" vertical="center"/>
    </xf>
    <xf numFmtId="171" fontId="0" fillId="0" borderId="22" xfId="2" applyNumberFormat="1" applyFont="1" applyFill="1" applyBorder="1"/>
    <xf numFmtId="171" fontId="33" fillId="0" borderId="0" xfId="31" applyNumberFormat="1" applyFont="1" applyFill="1" applyBorder="1" applyAlignment="1"/>
    <xf numFmtId="9" fontId="0" fillId="0" borderId="0" xfId="2" applyFont="1" applyAlignment="1"/>
    <xf numFmtId="10" fontId="0" fillId="0" borderId="2" xfId="2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51" fillId="0" borderId="0" xfId="0" applyFont="1"/>
    <xf numFmtId="165" fontId="33" fillId="2" borderId="45" xfId="1" applyNumberFormat="1" applyFont="1" applyFill="1" applyBorder="1"/>
    <xf numFmtId="10" fontId="0" fillId="0" borderId="18" xfId="2" applyNumberFormat="1" applyFont="1" applyBorder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65" fontId="0" fillId="0" borderId="47" xfId="1" applyNumberFormat="1" applyFont="1" applyBorder="1" applyAlignment="1">
      <alignment horizontal="center"/>
    </xf>
    <xf numFmtId="165" fontId="2" fillId="0" borderId="47" xfId="1" applyNumberFormat="1" applyFont="1" applyBorder="1" applyAlignment="1">
      <alignment horizontal="center"/>
    </xf>
    <xf numFmtId="165" fontId="2" fillId="0" borderId="48" xfId="0" applyNumberFormat="1" applyFont="1" applyBorder="1"/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32"/>
  <sheetViews>
    <sheetView tabSelected="1" zoomScaleNormal="10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13.28515625" bestFit="1" customWidth="1"/>
    <col min="11" max="11" width="9.7109375" bestFit="1" customWidth="1"/>
    <col min="12" max="12" width="14.5703125" customWidth="1"/>
  </cols>
  <sheetData>
    <row r="1" spans="2:8" ht="18.75">
      <c r="B1" s="1" t="s">
        <v>102</v>
      </c>
    </row>
    <row r="2" spans="2:8" ht="15.75" thickBot="1"/>
    <row r="3" spans="2:8">
      <c r="B3" s="36"/>
      <c r="C3" s="37" t="s">
        <v>13</v>
      </c>
      <c r="D3" s="38" t="s">
        <v>41</v>
      </c>
      <c r="E3" s="39"/>
      <c r="F3" s="2"/>
    </row>
    <row r="4" spans="2:8">
      <c r="B4" s="115" t="s">
        <v>14</v>
      </c>
      <c r="C4" s="117"/>
      <c r="D4" s="22">
        <v>2018</v>
      </c>
      <c r="E4" s="41" t="s">
        <v>37</v>
      </c>
      <c r="F4" s="2"/>
    </row>
    <row r="5" spans="2:8" ht="15.75" thickBot="1">
      <c r="B5" s="118" t="s">
        <v>19</v>
      </c>
      <c r="C5" s="119"/>
      <c r="D5" s="69">
        <v>296875</v>
      </c>
      <c r="E5" s="70">
        <f>+E15/D5</f>
        <v>14.690380900237592</v>
      </c>
    </row>
    <row r="6" spans="2:8">
      <c r="D6" s="12"/>
      <c r="F6" s="11"/>
    </row>
    <row r="7" spans="2:8" ht="19.5" thickBot="1">
      <c r="C7" s="35" t="s">
        <v>34</v>
      </c>
      <c r="D7" s="12"/>
      <c r="F7" s="11"/>
    </row>
    <row r="8" spans="2:8">
      <c r="B8" s="25"/>
      <c r="C8" s="26"/>
      <c r="D8" s="26"/>
      <c r="E8" s="26"/>
      <c r="F8" s="26"/>
      <c r="G8" s="27" t="s">
        <v>18</v>
      </c>
      <c r="H8" s="48" t="s">
        <v>38</v>
      </c>
    </row>
    <row r="9" spans="2:8">
      <c r="B9" s="28"/>
      <c r="C9" s="7"/>
      <c r="D9" s="7"/>
      <c r="E9" s="9" t="s">
        <v>12</v>
      </c>
      <c r="F9" s="18" t="s">
        <v>26</v>
      </c>
      <c r="G9" s="14" t="s">
        <v>33</v>
      </c>
      <c r="H9" s="49" t="s">
        <v>18</v>
      </c>
    </row>
    <row r="10" spans="2:8">
      <c r="B10" s="115" t="s">
        <v>10</v>
      </c>
      <c r="C10" s="116"/>
      <c r="D10" s="117"/>
      <c r="E10" s="46">
        <f>+$E$15*F10</f>
        <v>1678995.3603835886</v>
      </c>
      <c r="F10" s="8">
        <v>0.38498411699422685</v>
      </c>
      <c r="G10" s="46">
        <v>109499</v>
      </c>
      <c r="H10" s="83">
        <f>+E10/G10</f>
        <v>15.333430993740478</v>
      </c>
    </row>
    <row r="11" spans="2:8">
      <c r="B11" s="115" t="s">
        <v>15</v>
      </c>
      <c r="C11" s="116"/>
      <c r="D11" s="117"/>
      <c r="E11" s="46">
        <f t="shared" ref="E11:E14" si="0">+$E$15*F11</f>
        <v>1731270.345977735</v>
      </c>
      <c r="F11" s="8">
        <v>0.39697047481551978</v>
      </c>
      <c r="G11" s="46">
        <v>16177</v>
      </c>
      <c r="H11" s="50">
        <f>+E11/G11</f>
        <v>107.02048253555881</v>
      </c>
    </row>
    <row r="12" spans="2:8">
      <c r="B12" s="115" t="s">
        <v>16</v>
      </c>
      <c r="C12" s="116"/>
      <c r="D12" s="117"/>
      <c r="E12" s="46">
        <f t="shared" si="0"/>
        <v>758031.71029179427</v>
      </c>
      <c r="F12" s="8">
        <v>0.17381237347412179</v>
      </c>
      <c r="G12" s="46">
        <v>481</v>
      </c>
      <c r="H12" s="50">
        <f>+E12/G12</f>
        <v>1575.9495016461419</v>
      </c>
    </row>
    <row r="13" spans="2:8">
      <c r="B13" s="115" t="s">
        <v>39</v>
      </c>
      <c r="C13" s="116"/>
      <c r="D13" s="117"/>
      <c r="E13" s="46">
        <f t="shared" si="0"/>
        <v>183425.46168361985</v>
      </c>
      <c r="F13" s="8">
        <v>4.2058418424928613E-2</v>
      </c>
      <c r="G13" s="46">
        <v>5051</v>
      </c>
      <c r="H13" s="50">
        <f>+E13/G13</f>
        <v>36.314682574464435</v>
      </c>
    </row>
    <row r="14" spans="2:8">
      <c r="B14" s="120" t="s">
        <v>40</v>
      </c>
      <c r="C14" s="121"/>
      <c r="D14" s="122"/>
      <c r="E14" s="46">
        <f t="shared" si="0"/>
        <v>9483.9514212975955</v>
      </c>
      <c r="F14" s="8">
        <v>2.1746162912029965E-3</v>
      </c>
      <c r="G14" s="46">
        <v>245</v>
      </c>
      <c r="H14" s="50">
        <f>+E14/G14</f>
        <v>38.710005801214677</v>
      </c>
    </row>
    <row r="15" spans="2:8" ht="15.75" thickBot="1">
      <c r="B15" s="30"/>
      <c r="C15" s="43" t="s">
        <v>11</v>
      </c>
      <c r="D15" s="44"/>
      <c r="E15" s="40">
        <v>4361206.829758035</v>
      </c>
      <c r="F15" s="45"/>
      <c r="G15" s="47"/>
      <c r="H15" s="51"/>
    </row>
    <row r="17" spans="2:11" ht="19.5" thickBot="1">
      <c r="C17" s="35" t="s">
        <v>35</v>
      </c>
    </row>
    <row r="18" spans="2:11">
      <c r="B18" s="25"/>
      <c r="C18" s="26"/>
      <c r="D18" s="26"/>
      <c r="E18" s="26"/>
      <c r="F18" s="27" t="s">
        <v>27</v>
      </c>
      <c r="G18" s="32" t="s">
        <v>4</v>
      </c>
      <c r="H18" s="33"/>
      <c r="I18" s="110" t="s">
        <v>112</v>
      </c>
    </row>
    <row r="19" spans="2:11" ht="18">
      <c r="B19" s="34"/>
      <c r="E19" s="18" t="s">
        <v>17</v>
      </c>
      <c r="F19" s="14" t="s">
        <v>28</v>
      </c>
      <c r="G19" s="10" t="s">
        <v>113</v>
      </c>
      <c r="H19" s="29"/>
      <c r="I19" s="111" t="s">
        <v>113</v>
      </c>
    </row>
    <row r="20" spans="2:11" ht="15.75" thickBot="1">
      <c r="B20" s="115" t="s">
        <v>31</v>
      </c>
      <c r="C20" s="116"/>
      <c r="D20" s="117"/>
      <c r="E20" s="72">
        <f>'Known Resources'!B43</f>
        <v>3572299.8829487986</v>
      </c>
      <c r="F20" s="103">
        <f>+E20/(E20+E21)</f>
        <v>0.8435699843204516</v>
      </c>
      <c r="G20" s="72">
        <f>'Known Resources'!E43</f>
        <v>2627023.9314427311</v>
      </c>
      <c r="H20" s="71"/>
      <c r="I20" s="112">
        <f>G20*0.907185</f>
        <v>2383196.7052458739</v>
      </c>
      <c r="J20" s="95"/>
      <c r="K20" s="52"/>
    </row>
    <row r="21" spans="2:11" ht="18">
      <c r="B21" s="115" t="s">
        <v>32</v>
      </c>
      <c r="C21" s="116"/>
      <c r="D21" s="117"/>
      <c r="E21" s="73">
        <f>'Unknown Resources'!B17</f>
        <v>662440.50533861667</v>
      </c>
      <c r="F21" s="104">
        <f>+E21/(E20+E21)</f>
        <v>0.15643001567954826</v>
      </c>
      <c r="G21" s="74">
        <f>'Unknown Resources'!D17</f>
        <v>319103.86473319726</v>
      </c>
      <c r="H21" s="42" t="s">
        <v>36</v>
      </c>
      <c r="I21" s="113">
        <f>G21*0.907185</f>
        <v>289486.23952798557</v>
      </c>
      <c r="J21" s="95"/>
      <c r="K21" s="52"/>
    </row>
    <row r="22" spans="2:11" ht="18.75" thickBot="1">
      <c r="B22" s="30"/>
      <c r="C22" s="31"/>
      <c r="D22" s="31"/>
      <c r="E22" s="43">
        <v>2018</v>
      </c>
      <c r="F22" s="31" t="s">
        <v>3</v>
      </c>
      <c r="G22" s="79">
        <f>SUM(G20:G21)</f>
        <v>2946127.7961759283</v>
      </c>
      <c r="H22" s="85">
        <f>+G22/H24</f>
        <v>1.2280250146831109</v>
      </c>
      <c r="I22" s="114">
        <f>SUM(I20:I21)</f>
        <v>2672682.9447738593</v>
      </c>
    </row>
    <row r="23" spans="2:11">
      <c r="E23" s="2"/>
    </row>
    <row r="24" spans="2:11" ht="18">
      <c r="E24" s="52"/>
      <c r="G24" s="13" t="s">
        <v>25</v>
      </c>
      <c r="H24" s="19">
        <f>H30</f>
        <v>2399078</v>
      </c>
      <c r="I24" s="17"/>
    </row>
    <row r="26" spans="2:11">
      <c r="F26" s="17" t="s">
        <v>20</v>
      </c>
      <c r="G26" s="15"/>
      <c r="H26" s="15"/>
    </row>
    <row r="27" spans="2:11">
      <c r="F27" s="15"/>
      <c r="G27" s="15"/>
      <c r="H27" s="75" t="s">
        <v>24</v>
      </c>
    </row>
    <row r="28" spans="2:11" ht="18">
      <c r="F28" s="15"/>
      <c r="G28" s="15"/>
      <c r="H28" s="76" t="s">
        <v>2</v>
      </c>
    </row>
    <row r="29" spans="2:11">
      <c r="F29" s="15"/>
      <c r="G29" s="16" t="s">
        <v>21</v>
      </c>
      <c r="H29" s="77">
        <v>1131957</v>
      </c>
    </row>
    <row r="30" spans="2:11">
      <c r="F30" s="15"/>
      <c r="G30" s="16" t="s">
        <v>22</v>
      </c>
      <c r="H30" s="77">
        <v>2399078</v>
      </c>
    </row>
    <row r="31" spans="2:11">
      <c r="F31" s="15"/>
      <c r="G31" s="16" t="s">
        <v>23</v>
      </c>
      <c r="H31" s="77">
        <v>6946064</v>
      </c>
    </row>
    <row r="32" spans="2:11">
      <c r="H32" s="78"/>
    </row>
  </sheetData>
  <mergeCells count="9"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7"/>
  <sheetViews>
    <sheetView zoomScale="70" zoomScaleNormal="70" workbookViewId="0"/>
  </sheetViews>
  <sheetFormatPr defaultRowHeight="15"/>
  <cols>
    <col min="1" max="1" width="53.140625" bestFit="1" customWidth="1"/>
    <col min="2" max="2" width="14.85546875" customWidth="1"/>
    <col min="3" max="3" width="16.85546875" customWidth="1"/>
    <col min="4" max="5" width="14.85546875" customWidth="1"/>
    <col min="6" max="6" width="23.85546875" style="2" customWidth="1"/>
    <col min="7" max="7" width="31.42578125" style="2" customWidth="1"/>
    <col min="8" max="8" width="12" bestFit="1" customWidth="1"/>
  </cols>
  <sheetData>
    <row r="1" spans="1:9" ht="18.75">
      <c r="A1" s="1" t="s">
        <v>9</v>
      </c>
      <c r="B1" s="21">
        <f>'Summary 2018'!D4</f>
        <v>2018</v>
      </c>
      <c r="H1" s="90">
        <v>0.22602884521810968</v>
      </c>
      <c r="I1" s="33" t="s">
        <v>97</v>
      </c>
    </row>
    <row r="2" spans="1:9" ht="30.75">
      <c r="A2" s="1"/>
      <c r="B2" s="5" t="s">
        <v>29</v>
      </c>
      <c r="C2" s="108" t="s">
        <v>111</v>
      </c>
      <c r="D2" s="5">
        <f>B1</f>
        <v>2018</v>
      </c>
      <c r="E2" s="5" t="s">
        <v>4</v>
      </c>
      <c r="G2" s="2" t="s">
        <v>101</v>
      </c>
      <c r="H2" s="91">
        <v>0.22429967986215482</v>
      </c>
      <c r="I2" s="29" t="s">
        <v>96</v>
      </c>
    </row>
    <row r="3" spans="1:9" ht="20.25" thickBot="1">
      <c r="A3" s="3" t="s">
        <v>0</v>
      </c>
      <c r="B3" s="6">
        <f>B1</f>
        <v>2018</v>
      </c>
      <c r="C3" s="109">
        <f>3.503%</f>
        <v>3.5029999999999999E-2</v>
      </c>
      <c r="D3" s="6" t="s">
        <v>6</v>
      </c>
      <c r="E3" s="6" t="s">
        <v>7</v>
      </c>
      <c r="F3" s="4"/>
      <c r="G3" s="2" t="s">
        <v>99</v>
      </c>
      <c r="H3" s="92">
        <v>1</v>
      </c>
      <c r="I3" s="93" t="s">
        <v>98</v>
      </c>
    </row>
    <row r="4" spans="1:9">
      <c r="A4" s="54" t="s">
        <v>46</v>
      </c>
      <c r="B4" s="55">
        <f>G4*$H$1</f>
        <v>105835.98777631066</v>
      </c>
      <c r="C4" s="55">
        <f>B4*(1+$C$3)</f>
        <v>109543.42242811482</v>
      </c>
      <c r="D4" s="55">
        <v>2319.457920920162</v>
      </c>
      <c r="E4" s="62">
        <f>(+C4*D4)/2000</f>
        <v>127040.67941779712</v>
      </c>
      <c r="F4" s="2" t="s">
        <v>80</v>
      </c>
      <c r="G4" s="99">
        <v>468241.06752473454</v>
      </c>
      <c r="H4" s="97"/>
    </row>
    <row r="5" spans="1:9">
      <c r="A5" s="54" t="s">
        <v>45</v>
      </c>
      <c r="B5" s="55">
        <f>G5*$H$1</f>
        <v>1904185.6842565762</v>
      </c>
      <c r="C5" s="55">
        <f t="shared" ref="C5:C7" si="0">B5*(1+$C$3)</f>
        <v>1970889.3087760839</v>
      </c>
      <c r="D5" s="55">
        <v>2209.8748747401214</v>
      </c>
      <c r="E5" s="62">
        <f t="shared" ref="E5:E7" si="1">(+C5*D5)/2000</f>
        <v>2177709.3821790963</v>
      </c>
      <c r="F5" s="2" t="s">
        <v>80</v>
      </c>
      <c r="G5" s="99">
        <v>8424525.1194337867</v>
      </c>
      <c r="H5" s="97"/>
    </row>
    <row r="6" spans="1:9">
      <c r="A6" s="54" t="s">
        <v>44</v>
      </c>
      <c r="B6" s="55">
        <f>G6*$H$1</f>
        <v>386230.59483836888</v>
      </c>
      <c r="C6" s="55">
        <f t="shared" si="0"/>
        <v>399760.25257555692</v>
      </c>
      <c r="D6" s="55">
        <v>874.50271309903019</v>
      </c>
      <c r="E6" s="62">
        <f t="shared" si="1"/>
        <v>174795.71273323905</v>
      </c>
      <c r="F6" s="2" t="s">
        <v>81</v>
      </c>
      <c r="G6" s="99">
        <v>1708766.8366648969</v>
      </c>
      <c r="H6" s="97"/>
    </row>
    <row r="7" spans="1:9">
      <c r="A7" s="54" t="s">
        <v>95</v>
      </c>
      <c r="B7" s="55">
        <f t="shared" ref="B7" si="2">G7*$H$1</f>
        <v>321822.97695543611</v>
      </c>
      <c r="C7" s="55">
        <f t="shared" si="0"/>
        <v>333096.43583818502</v>
      </c>
      <c r="D7" s="55">
        <v>885.49825963459057</v>
      </c>
      <c r="E7" s="62">
        <f t="shared" si="1"/>
        <v>147478.15711259894</v>
      </c>
      <c r="F7" s="2" t="s">
        <v>81</v>
      </c>
      <c r="G7" s="99">
        <v>1423813.7466255184</v>
      </c>
      <c r="H7" s="97"/>
    </row>
    <row r="8" spans="1:9">
      <c r="A8" s="54" t="s">
        <v>42</v>
      </c>
      <c r="B8" s="55">
        <f>G8*$H$2</f>
        <v>51703.992104064891</v>
      </c>
      <c r="C8" s="55"/>
      <c r="D8" s="55">
        <v>0</v>
      </c>
      <c r="E8" s="62">
        <f t="shared" ref="E8:E39" si="3">(+B8*D8)/2000</f>
        <v>0</v>
      </c>
      <c r="F8" s="2" t="s">
        <v>82</v>
      </c>
      <c r="G8" s="99">
        <v>230513</v>
      </c>
      <c r="H8" s="97"/>
    </row>
    <row r="9" spans="1:9">
      <c r="A9" s="54" t="s">
        <v>43</v>
      </c>
      <c r="B9" s="55">
        <f t="shared" ref="B9:B33" si="4">G9*$H$2</f>
        <v>45233.394939401449</v>
      </c>
      <c r="C9" s="55"/>
      <c r="D9" s="55">
        <v>0</v>
      </c>
      <c r="E9" s="62">
        <f t="shared" si="3"/>
        <v>0</v>
      </c>
      <c r="F9" s="2" t="s">
        <v>82</v>
      </c>
      <c r="G9" s="99">
        <v>201665</v>
      </c>
      <c r="H9" s="97"/>
    </row>
    <row r="10" spans="1:9">
      <c r="A10" s="54" t="s">
        <v>47</v>
      </c>
      <c r="B10" s="55">
        <f t="shared" si="4"/>
        <v>112343.18625511859</v>
      </c>
      <c r="C10" s="55"/>
      <c r="D10" s="55">
        <v>0</v>
      </c>
      <c r="E10" s="62">
        <f t="shared" si="3"/>
        <v>0</v>
      </c>
      <c r="F10" s="2" t="s">
        <v>82</v>
      </c>
      <c r="G10" s="99">
        <v>500862</v>
      </c>
      <c r="H10" s="97"/>
    </row>
    <row r="11" spans="1:9">
      <c r="A11" s="54" t="s">
        <v>53</v>
      </c>
      <c r="B11" s="55">
        <f t="shared" si="4"/>
        <v>324.78593644040018</v>
      </c>
      <c r="C11" s="55"/>
      <c r="D11" s="55">
        <v>0</v>
      </c>
      <c r="E11" s="62">
        <f t="shared" si="3"/>
        <v>0</v>
      </c>
      <c r="F11" s="2" t="s">
        <v>83</v>
      </c>
      <c r="G11" s="99">
        <v>1448</v>
      </c>
      <c r="H11" s="97"/>
    </row>
    <row r="12" spans="1:9">
      <c r="A12" s="54" t="s">
        <v>54</v>
      </c>
      <c r="B12" s="55">
        <f t="shared" si="4"/>
        <v>9082.7912363380965</v>
      </c>
      <c r="C12" s="55"/>
      <c r="D12" s="55">
        <v>0</v>
      </c>
      <c r="E12" s="62">
        <f t="shared" si="3"/>
        <v>0</v>
      </c>
      <c r="F12" s="2" t="s">
        <v>83</v>
      </c>
      <c r="G12" s="99">
        <v>40494</v>
      </c>
      <c r="H12" s="97"/>
    </row>
    <row r="13" spans="1:9">
      <c r="A13" s="54" t="s">
        <v>55</v>
      </c>
      <c r="B13" s="55">
        <f t="shared" si="4"/>
        <v>8282.714278269792</v>
      </c>
      <c r="C13" s="55"/>
      <c r="D13" s="55">
        <v>0</v>
      </c>
      <c r="E13" s="62">
        <f t="shared" si="3"/>
        <v>0</v>
      </c>
      <c r="F13" s="2" t="s">
        <v>83</v>
      </c>
      <c r="G13" s="99">
        <v>36927</v>
      </c>
      <c r="H13" s="97"/>
    </row>
    <row r="14" spans="1:9">
      <c r="A14" s="54" t="s">
        <v>56</v>
      </c>
      <c r="B14" s="55">
        <f>G14*$H$2</f>
        <v>16579.335136691036</v>
      </c>
      <c r="C14" s="55"/>
      <c r="D14" s="55">
        <v>0</v>
      </c>
      <c r="E14" s="62">
        <f t="shared" si="3"/>
        <v>0</v>
      </c>
      <c r="F14" s="2" t="s">
        <v>83</v>
      </c>
      <c r="G14" s="99">
        <v>73916</v>
      </c>
      <c r="H14" s="97"/>
    </row>
    <row r="15" spans="1:9">
      <c r="A15" s="54" t="s">
        <v>57</v>
      </c>
      <c r="B15" s="55">
        <f t="shared" si="4"/>
        <v>20797.066316818997</v>
      </c>
      <c r="C15" s="55"/>
      <c r="D15" s="55">
        <v>0</v>
      </c>
      <c r="E15" s="62">
        <f t="shared" si="3"/>
        <v>0</v>
      </c>
      <c r="F15" s="2" t="s">
        <v>83</v>
      </c>
      <c r="G15" s="99">
        <v>92720</v>
      </c>
      <c r="H15" s="97"/>
    </row>
    <row r="16" spans="1:9">
      <c r="A16" s="54" t="s">
        <v>58</v>
      </c>
      <c r="B16" s="55">
        <f t="shared" si="4"/>
        <v>3680.9820462178227</v>
      </c>
      <c r="C16" s="55"/>
      <c r="D16" s="55">
        <v>0</v>
      </c>
      <c r="E16" s="62">
        <f t="shared" si="3"/>
        <v>0</v>
      </c>
      <c r="F16" s="2" t="s">
        <v>83</v>
      </c>
      <c r="G16" s="99">
        <v>16411</v>
      </c>
      <c r="H16" s="97"/>
    </row>
    <row r="17" spans="1:8">
      <c r="A17" s="54" t="s">
        <v>59</v>
      </c>
      <c r="B17" s="55">
        <f t="shared" si="4"/>
        <v>881.72204153813061</v>
      </c>
      <c r="C17" s="55"/>
      <c r="D17" s="55">
        <v>0</v>
      </c>
      <c r="E17" s="62">
        <f t="shared" si="3"/>
        <v>0</v>
      </c>
      <c r="F17" s="2" t="s">
        <v>83</v>
      </c>
      <c r="G17" s="99">
        <v>3931</v>
      </c>
      <c r="H17" s="97"/>
    </row>
    <row r="18" spans="1:8">
      <c r="A18" s="54" t="s">
        <v>60</v>
      </c>
      <c r="B18" s="55">
        <f t="shared" si="4"/>
        <v>3310.2146754056807</v>
      </c>
      <c r="C18" s="55"/>
      <c r="D18" s="55">
        <v>0</v>
      </c>
      <c r="E18" s="62">
        <f t="shared" si="3"/>
        <v>0</v>
      </c>
      <c r="F18" s="2" t="s">
        <v>83</v>
      </c>
      <c r="G18" s="99">
        <v>14758</v>
      </c>
      <c r="H18" s="97"/>
    </row>
    <row r="19" spans="1:8">
      <c r="A19" s="54" t="s">
        <v>61</v>
      </c>
      <c r="B19" s="55">
        <f t="shared" si="4"/>
        <v>19959.755611893572</v>
      </c>
      <c r="C19" s="55"/>
      <c r="D19" s="55">
        <v>0</v>
      </c>
      <c r="E19" s="62">
        <f t="shared" si="3"/>
        <v>0</v>
      </c>
      <c r="F19" s="2" t="s">
        <v>83</v>
      </c>
      <c r="G19" s="99">
        <v>88987</v>
      </c>
      <c r="H19" s="97"/>
    </row>
    <row r="20" spans="1:8">
      <c r="A20" s="54" t="s">
        <v>62</v>
      </c>
      <c r="B20" s="55">
        <f t="shared" si="4"/>
        <v>43525.352877251142</v>
      </c>
      <c r="C20" s="55"/>
      <c r="D20" s="55">
        <v>0</v>
      </c>
      <c r="E20" s="62">
        <f t="shared" si="3"/>
        <v>0</v>
      </c>
      <c r="F20" s="2" t="s">
        <v>83</v>
      </c>
      <c r="G20" s="99">
        <v>194050</v>
      </c>
      <c r="H20" s="97"/>
    </row>
    <row r="21" spans="1:8">
      <c r="A21" s="54" t="s">
        <v>63</v>
      </c>
      <c r="B21" s="55">
        <f>G21*$H$2</f>
        <v>28006.955226308099</v>
      </c>
      <c r="C21" s="55"/>
      <c r="D21" s="55">
        <v>0</v>
      </c>
      <c r="E21" s="62">
        <f t="shared" si="3"/>
        <v>0</v>
      </c>
      <c r="F21" s="2" t="s">
        <v>83</v>
      </c>
      <c r="G21" s="99">
        <v>124864</v>
      </c>
      <c r="H21" s="97"/>
    </row>
    <row r="22" spans="1:8">
      <c r="A22" s="54" t="s">
        <v>64</v>
      </c>
      <c r="B22" s="55">
        <f t="shared" si="4"/>
        <v>29839.483610781903</v>
      </c>
      <c r="C22" s="55"/>
      <c r="D22" s="55">
        <v>0</v>
      </c>
      <c r="E22" s="62">
        <f t="shared" si="3"/>
        <v>0</v>
      </c>
      <c r="F22" s="2" t="s">
        <v>83</v>
      </c>
      <c r="G22" s="99">
        <v>133034</v>
      </c>
      <c r="H22" s="97"/>
    </row>
    <row r="23" spans="1:8">
      <c r="A23" s="54" t="s">
        <v>65</v>
      </c>
      <c r="B23" s="55">
        <f t="shared" si="4"/>
        <v>101037.8094910264</v>
      </c>
      <c r="C23" s="55"/>
      <c r="D23" s="55">
        <v>0</v>
      </c>
      <c r="E23" s="62">
        <f t="shared" si="3"/>
        <v>0</v>
      </c>
      <c r="F23" s="2" t="s">
        <v>83</v>
      </c>
      <c r="G23" s="99">
        <v>450459</v>
      </c>
      <c r="H23" s="97"/>
    </row>
    <row r="24" spans="1:8">
      <c r="A24" s="54" t="s">
        <v>66</v>
      </c>
      <c r="B24" s="55">
        <f t="shared" si="4"/>
        <v>2717.1663218501435</v>
      </c>
      <c r="C24" s="55"/>
      <c r="D24" s="55">
        <v>0</v>
      </c>
      <c r="E24" s="62">
        <f t="shared" si="3"/>
        <v>0</v>
      </c>
      <c r="F24" s="2" t="s">
        <v>83</v>
      </c>
      <c r="G24" s="99">
        <v>12114</v>
      </c>
      <c r="H24" s="97"/>
    </row>
    <row r="25" spans="1:8">
      <c r="A25" s="54" t="s">
        <v>75</v>
      </c>
      <c r="B25" s="55">
        <f t="shared" si="4"/>
        <v>44680.944827900967</v>
      </c>
      <c r="C25" s="55"/>
      <c r="D25" s="55">
        <v>0</v>
      </c>
      <c r="E25" s="62">
        <f t="shared" si="3"/>
        <v>0</v>
      </c>
      <c r="F25" s="2" t="s">
        <v>83</v>
      </c>
      <c r="G25" s="99">
        <v>199202</v>
      </c>
      <c r="H25" s="97"/>
    </row>
    <row r="26" spans="1:8">
      <c r="A26" s="54" t="s">
        <v>74</v>
      </c>
      <c r="B26" s="55">
        <f t="shared" si="4"/>
        <v>4993.5837727711532</v>
      </c>
      <c r="C26" s="55"/>
      <c r="D26" s="55">
        <v>0</v>
      </c>
      <c r="E26" s="62">
        <f t="shared" si="3"/>
        <v>0</v>
      </c>
      <c r="F26" s="2" t="s">
        <v>83</v>
      </c>
      <c r="G26" s="99">
        <v>22263</v>
      </c>
      <c r="H26" s="97"/>
    </row>
    <row r="27" spans="1:8">
      <c r="A27" s="54" t="s">
        <v>73</v>
      </c>
      <c r="B27" s="55">
        <f t="shared" si="4"/>
        <v>569.94548652973538</v>
      </c>
      <c r="C27" s="55"/>
      <c r="D27" s="55">
        <v>0</v>
      </c>
      <c r="E27" s="62">
        <f t="shared" si="3"/>
        <v>0</v>
      </c>
      <c r="F27" s="2" t="s">
        <v>83</v>
      </c>
      <c r="G27" s="99">
        <v>2541</v>
      </c>
      <c r="H27" s="97"/>
    </row>
    <row r="28" spans="1:8">
      <c r="A28" s="54" t="s">
        <v>72</v>
      </c>
      <c r="B28" s="55">
        <f>G28*$H$2</f>
        <v>12755.47419440102</v>
      </c>
      <c r="C28" s="55"/>
      <c r="D28" s="55">
        <v>0</v>
      </c>
      <c r="E28" s="62">
        <f t="shared" si="3"/>
        <v>0</v>
      </c>
      <c r="F28" s="2" t="s">
        <v>83</v>
      </c>
      <c r="G28" s="99">
        <v>56868</v>
      </c>
      <c r="H28" s="97"/>
    </row>
    <row r="29" spans="1:8">
      <c r="A29" s="54" t="s">
        <v>71</v>
      </c>
      <c r="B29" s="55">
        <f t="shared" si="4"/>
        <v>9893.410279359925</v>
      </c>
      <c r="C29" s="55"/>
      <c r="D29" s="55">
        <v>0</v>
      </c>
      <c r="E29" s="62">
        <f t="shared" si="3"/>
        <v>0</v>
      </c>
      <c r="F29" s="2" t="s">
        <v>83</v>
      </c>
      <c r="G29" s="99">
        <v>44108</v>
      </c>
      <c r="H29" s="97"/>
    </row>
    <row r="30" spans="1:8">
      <c r="A30" s="54" t="s">
        <v>70</v>
      </c>
      <c r="B30" s="55">
        <f>G30*$H$2</f>
        <v>60277.183750956421</v>
      </c>
      <c r="C30" s="55"/>
      <c r="D30" s="55">
        <v>0</v>
      </c>
      <c r="E30" s="62">
        <f t="shared" si="3"/>
        <v>0</v>
      </c>
      <c r="F30" s="2" t="s">
        <v>83</v>
      </c>
      <c r="G30" s="99">
        <v>268735.04138748773</v>
      </c>
      <c r="H30" s="97"/>
    </row>
    <row r="31" spans="1:8">
      <c r="A31" s="54" t="s">
        <v>69</v>
      </c>
      <c r="B31" s="55">
        <f t="shared" si="4"/>
        <v>43751.222654872334</v>
      </c>
      <c r="C31" s="55"/>
      <c r="D31" s="55">
        <v>0</v>
      </c>
      <c r="E31" s="62">
        <f t="shared" si="3"/>
        <v>0</v>
      </c>
      <c r="F31" s="2" t="s">
        <v>83</v>
      </c>
      <c r="G31" s="99">
        <v>195057</v>
      </c>
      <c r="H31" s="97"/>
    </row>
    <row r="32" spans="1:8">
      <c r="A32" s="54" t="s">
        <v>68</v>
      </c>
      <c r="B32" s="55">
        <f t="shared" si="4"/>
        <v>1046.1337068770902</v>
      </c>
      <c r="C32" s="55"/>
      <c r="D32" s="55">
        <v>0</v>
      </c>
      <c r="E32" s="62">
        <f t="shared" si="3"/>
        <v>0</v>
      </c>
      <c r="F32" s="2" t="s">
        <v>83</v>
      </c>
      <c r="G32" s="99">
        <v>4664</v>
      </c>
      <c r="H32" s="97"/>
    </row>
    <row r="33" spans="1:8">
      <c r="A33" s="54" t="s">
        <v>67</v>
      </c>
      <c r="B33" s="55">
        <f t="shared" si="4"/>
        <v>78168.678907062043</v>
      </c>
      <c r="C33" s="55"/>
      <c r="D33" s="55">
        <v>0</v>
      </c>
      <c r="E33" s="62">
        <f t="shared" si="3"/>
        <v>0</v>
      </c>
      <c r="F33" s="2" t="s">
        <v>83</v>
      </c>
      <c r="G33" s="99">
        <v>348501.07211522205</v>
      </c>
      <c r="H33" s="97"/>
    </row>
    <row r="34" spans="1:8">
      <c r="A34" s="54" t="s">
        <v>79</v>
      </c>
      <c r="B34" s="55">
        <f>G34</f>
        <v>6005</v>
      </c>
      <c r="C34" s="55"/>
      <c r="D34" s="55">
        <v>0</v>
      </c>
      <c r="E34" s="62">
        <f t="shared" si="3"/>
        <v>0</v>
      </c>
      <c r="F34" s="2" t="s">
        <v>83</v>
      </c>
      <c r="G34" s="99">
        <v>6005</v>
      </c>
      <c r="H34" s="97"/>
    </row>
    <row r="35" spans="1:8">
      <c r="A35" s="54" t="s">
        <v>76</v>
      </c>
      <c r="B35" s="55">
        <f>(G35*$H$1*0.7)+(G35*$H$2*0.3)</f>
        <v>40578.737624492722</v>
      </c>
      <c r="C35" s="55"/>
      <c r="D35" s="55">
        <v>0</v>
      </c>
      <c r="E35" s="62">
        <f t="shared" si="3"/>
        <v>0</v>
      </c>
      <c r="F35" s="2" t="s">
        <v>83</v>
      </c>
      <c r="G35" s="99">
        <v>179942</v>
      </c>
      <c r="H35" s="97"/>
    </row>
    <row r="36" spans="1:8">
      <c r="A36" s="54" t="s">
        <v>77</v>
      </c>
      <c r="B36" s="55">
        <f>(G36*$H$1*0.7)+(G36*$H$2*0.3)</f>
        <v>22122.765889566417</v>
      </c>
      <c r="C36" s="55"/>
      <c r="D36" s="55">
        <v>0</v>
      </c>
      <c r="E36" s="62">
        <f t="shared" si="3"/>
        <v>0</v>
      </c>
      <c r="F36" s="2" t="s">
        <v>83</v>
      </c>
      <c r="G36" s="99">
        <v>98101</v>
      </c>
      <c r="H36" s="97"/>
    </row>
    <row r="37" spans="1:8">
      <c r="A37" s="54" t="s">
        <v>78</v>
      </c>
      <c r="B37" s="55">
        <f t="shared" ref="B37" si="5">(G37*$H$1*0.7)+(G37*$H$2*0.3)</f>
        <v>0</v>
      </c>
      <c r="C37" s="55"/>
      <c r="D37" s="55">
        <v>0</v>
      </c>
      <c r="E37" s="62">
        <f t="shared" si="3"/>
        <v>0</v>
      </c>
      <c r="F37" s="2" t="s">
        <v>83</v>
      </c>
      <c r="G37" s="99">
        <v>0</v>
      </c>
      <c r="H37" s="97"/>
    </row>
    <row r="38" spans="1:8">
      <c r="A38" s="54" t="s">
        <v>49</v>
      </c>
      <c r="B38" s="55">
        <f>G38*H2</f>
        <v>25498.539009013675</v>
      </c>
      <c r="C38" s="55"/>
      <c r="D38" s="55">
        <v>0</v>
      </c>
      <c r="E38" s="62">
        <f t="shared" si="3"/>
        <v>0</v>
      </c>
      <c r="F38" s="2" t="s">
        <v>83</v>
      </c>
      <c r="G38" s="99">
        <v>113680.67500000003</v>
      </c>
      <c r="H38" s="97"/>
    </row>
    <row r="39" spans="1:8">
      <c r="A39" s="54" t="s">
        <v>51</v>
      </c>
      <c r="B39" s="55">
        <f>G39*H2</f>
        <v>0</v>
      </c>
      <c r="C39" s="55"/>
      <c r="D39" s="55">
        <v>0</v>
      </c>
      <c r="E39" s="62">
        <f t="shared" si="3"/>
        <v>0</v>
      </c>
      <c r="F39" s="2" t="s">
        <v>84</v>
      </c>
      <c r="G39" s="99">
        <v>0</v>
      </c>
      <c r="H39" s="97"/>
    </row>
    <row r="40" spans="1:8">
      <c r="A40" s="54" t="s">
        <v>52</v>
      </c>
      <c r="B40" s="55">
        <f>(G40*H1*79.264%)+(G40*H2*20.736%)</f>
        <v>2760.8502726834226</v>
      </c>
      <c r="C40" s="55"/>
      <c r="D40" s="55">
        <v>0</v>
      </c>
      <c r="E40" s="62">
        <f>(+B40*D40)/2000</f>
        <v>0</v>
      </c>
      <c r="F40" s="2" t="s">
        <v>83</v>
      </c>
      <c r="G40" s="99">
        <v>12234</v>
      </c>
      <c r="H40" s="97"/>
    </row>
    <row r="41" spans="1:8">
      <c r="A41" s="54" t="s">
        <v>106</v>
      </c>
      <c r="B41" s="55">
        <f>G41*H2</f>
        <v>-3370.5512892886004</v>
      </c>
      <c r="C41" s="55"/>
      <c r="D41" s="55"/>
      <c r="E41" s="62"/>
      <c r="F41" s="2" t="s">
        <v>83</v>
      </c>
      <c r="G41" s="99">
        <v>-15027</v>
      </c>
      <c r="H41" s="97"/>
    </row>
    <row r="42" spans="1:8" ht="15.75" thickBot="1">
      <c r="A42" s="54" t="s">
        <v>107</v>
      </c>
      <c r="B42" s="55">
        <f>G42*H2</f>
        <v>7186.0119294929955</v>
      </c>
      <c r="C42" s="55"/>
      <c r="D42" s="55"/>
      <c r="E42" s="62"/>
      <c r="F42" s="2" t="s">
        <v>82</v>
      </c>
      <c r="G42" s="99">
        <v>32037.548755795</v>
      </c>
      <c r="H42" s="97"/>
    </row>
    <row r="43" spans="1:8" ht="16.5" thickTop="1" thickBot="1">
      <c r="B43" s="61">
        <f>SUM(B4:B42)</f>
        <v>3572299.8829487986</v>
      </c>
      <c r="E43" s="61">
        <f>SUM(E4:E42)</f>
        <v>2627023.9314427311</v>
      </c>
      <c r="F43"/>
      <c r="G43" s="80">
        <f>SUM(G4:G42)</f>
        <v>15811412.107507441</v>
      </c>
      <c r="H43" s="52"/>
    </row>
    <row r="44" spans="1:8">
      <c r="F44"/>
      <c r="G44"/>
    </row>
    <row r="45" spans="1:8">
      <c r="A45" t="s">
        <v>103</v>
      </c>
      <c r="B45" s="89">
        <f>0.75*H1+0.25*H2</f>
        <v>0.22559655387912098</v>
      </c>
      <c r="F45"/>
      <c r="G45"/>
    </row>
    <row r="46" spans="1:8">
      <c r="F46" s="56"/>
      <c r="G46" s="56"/>
    </row>
    <row r="47" spans="1:8">
      <c r="A47" s="52"/>
      <c r="G47" s="56"/>
    </row>
  </sheetData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3"/>
  <sheetViews>
    <sheetView zoomScaleNormal="10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5.28515625" customWidth="1"/>
    <col min="7" max="7" width="11.28515625" bestFit="1" customWidth="1"/>
    <col min="8" max="8" width="9" bestFit="1" customWidth="1"/>
    <col min="9" max="9" width="22" bestFit="1" customWidth="1"/>
    <col min="10" max="10" width="9.7109375" bestFit="1" customWidth="1"/>
    <col min="11" max="11" width="10.140625" bestFit="1" customWidth="1"/>
    <col min="14" max="14" width="14" bestFit="1" customWidth="1"/>
  </cols>
  <sheetData>
    <row r="1" spans="1:14" ht="19.5">
      <c r="A1" s="1" t="s">
        <v>30</v>
      </c>
      <c r="B1" s="1">
        <f>'Known Resources'!B1</f>
        <v>2018</v>
      </c>
      <c r="D1" s="105" t="s">
        <v>108</v>
      </c>
      <c r="H1" s="106">
        <f>M1*M2</f>
        <v>963.41893999999991</v>
      </c>
      <c r="I1" t="s">
        <v>5</v>
      </c>
      <c r="K1" s="100">
        <f>'Known Resources'!H1</f>
        <v>0.22602884521810968</v>
      </c>
      <c r="L1" s="33" t="s">
        <v>97</v>
      </c>
      <c r="M1">
        <v>0.437</v>
      </c>
      <c r="N1" s="52" t="s">
        <v>109</v>
      </c>
    </row>
    <row r="2" spans="1:14" ht="18.75">
      <c r="A2" s="1"/>
      <c r="B2" s="5" t="s">
        <v>29</v>
      </c>
      <c r="C2" s="5" t="s">
        <v>1</v>
      </c>
      <c r="D2" s="5" t="s">
        <v>4</v>
      </c>
      <c r="E2" s="2"/>
      <c r="F2" s="23" t="s">
        <v>8</v>
      </c>
      <c r="G2" s="22">
        <f>'Known Resources'!B1</f>
        <v>2018</v>
      </c>
      <c r="H2" s="24"/>
      <c r="K2" s="100">
        <f>'Known Resources'!H2</f>
        <v>0.22429967986215482</v>
      </c>
      <c r="L2" s="29" t="s">
        <v>96</v>
      </c>
      <c r="M2">
        <v>2204.62</v>
      </c>
      <c r="N2" s="52" t="s">
        <v>110</v>
      </c>
    </row>
    <row r="3" spans="1:14" ht="45.75" thickBot="1">
      <c r="A3" s="63" t="s">
        <v>0</v>
      </c>
      <c r="B3" s="64">
        <f>'Known Resources'!B1</f>
        <v>2018</v>
      </c>
      <c r="C3" s="64" t="s">
        <v>90</v>
      </c>
      <c r="D3" s="64" t="s">
        <v>91</v>
      </c>
      <c r="E3" s="65"/>
      <c r="F3" s="98" t="s">
        <v>100</v>
      </c>
      <c r="H3" s="86"/>
      <c r="I3" s="82"/>
      <c r="K3" s="107">
        <v>1</v>
      </c>
      <c r="L3" s="93" t="s">
        <v>98</v>
      </c>
    </row>
    <row r="4" spans="1:14">
      <c r="A4" s="54" t="s">
        <v>88</v>
      </c>
      <c r="B4" s="57">
        <f>F4*$K$2</f>
        <v>25155.410966252537</v>
      </c>
      <c r="C4" s="68">
        <f>IF(B4&lt;&gt;0,$H$1,0)</f>
        <v>963.41893999999991</v>
      </c>
      <c r="D4" s="67">
        <f>(+B4*C4)/2000</f>
        <v>12117.599684185696</v>
      </c>
      <c r="E4" s="66"/>
      <c r="F4" s="57">
        <v>112150.9</v>
      </c>
      <c r="J4" s="52"/>
    </row>
    <row r="5" spans="1:14">
      <c r="A5" s="54" t="s">
        <v>86</v>
      </c>
      <c r="B5" s="57">
        <f t="shared" ref="B5:B6" si="0">F5*$K$2</f>
        <v>21994.378007923176</v>
      </c>
      <c r="C5" s="68">
        <f t="shared" ref="C5:C13" si="1">IF(B5&lt;&gt;0,$H$1,0)</f>
        <v>963.41893999999991</v>
      </c>
      <c r="D5" s="67">
        <f t="shared" ref="D5:D16" si="2">(+B5*C5)/2000</f>
        <v>10594.900173176327</v>
      </c>
      <c r="E5" s="66"/>
      <c r="F5" s="57">
        <v>98058</v>
      </c>
      <c r="J5" s="52"/>
    </row>
    <row r="6" spans="1:14">
      <c r="A6" s="54" t="s">
        <v>87</v>
      </c>
      <c r="B6" s="57">
        <f t="shared" si="0"/>
        <v>1135882.0013690968</v>
      </c>
      <c r="C6" s="68">
        <f t="shared" si="1"/>
        <v>963.41893999999991</v>
      </c>
      <c r="D6" s="67">
        <f t="shared" si="2"/>
        <v>547165.11686204688</v>
      </c>
      <c r="E6" s="66"/>
      <c r="F6" s="57">
        <v>5064126.7168422276</v>
      </c>
      <c r="J6" s="52"/>
    </row>
    <row r="7" spans="1:14">
      <c r="A7" s="54" t="s">
        <v>92</v>
      </c>
      <c r="B7" s="57">
        <f>F7*$K$2</f>
        <v>0</v>
      </c>
      <c r="C7" s="68">
        <f t="shared" si="1"/>
        <v>0</v>
      </c>
      <c r="D7" s="67">
        <f t="shared" si="2"/>
        <v>0</v>
      </c>
      <c r="E7" s="66"/>
      <c r="F7" s="57">
        <v>0</v>
      </c>
      <c r="H7" s="82"/>
      <c r="J7" s="52"/>
      <c r="N7" s="52"/>
    </row>
    <row r="8" spans="1:14">
      <c r="A8" s="54" t="s">
        <v>89</v>
      </c>
      <c r="B8" s="57">
        <f>F8*$K$2</f>
        <v>11069.637800557064</v>
      </c>
      <c r="C8" s="68">
        <f t="shared" si="1"/>
        <v>963.41893999999991</v>
      </c>
      <c r="D8" s="67">
        <f t="shared" si="2"/>
        <v>5332.3493579983087</v>
      </c>
      <c r="E8" s="66"/>
      <c r="F8" s="57">
        <v>49352</v>
      </c>
      <c r="J8" s="52"/>
      <c r="N8" s="52"/>
    </row>
    <row r="9" spans="1:14">
      <c r="A9" s="54" t="s">
        <v>93</v>
      </c>
      <c r="B9" s="57">
        <f>F9*$K$2</f>
        <v>102911.86099496308</v>
      </c>
      <c r="C9" s="68">
        <f t="shared" si="1"/>
        <v>963.41893999999991</v>
      </c>
      <c r="D9" s="67">
        <f t="shared" si="2"/>
        <v>49573.618016597327</v>
      </c>
      <c r="E9" s="66"/>
      <c r="F9" s="57">
        <v>458814.12340048095</v>
      </c>
      <c r="J9" s="52"/>
      <c r="N9" s="52"/>
    </row>
    <row r="10" spans="1:14">
      <c r="A10" s="54" t="s">
        <v>50</v>
      </c>
      <c r="B10" s="57">
        <f>(F10*K1*0.7)+(F10*K2*0.3)</f>
        <v>10655.352017635021</v>
      </c>
      <c r="C10" s="68">
        <f t="shared" si="1"/>
        <v>963.41893999999991</v>
      </c>
      <c r="D10" s="67">
        <f t="shared" si="2"/>
        <v>5132.7839730783962</v>
      </c>
      <c r="E10" s="66"/>
      <c r="F10" s="57">
        <v>47250</v>
      </c>
      <c r="J10" s="52"/>
      <c r="N10" s="88"/>
    </row>
    <row r="11" spans="1:14">
      <c r="A11" s="54" t="s">
        <v>48</v>
      </c>
      <c r="B11" s="57">
        <f>F11*$K$2</f>
        <v>-609440.86694183468</v>
      </c>
      <c r="C11" s="68">
        <f t="shared" si="1"/>
        <v>963.41893999999991</v>
      </c>
      <c r="D11" s="67">
        <f t="shared" si="2"/>
        <v>-293573.43701089168</v>
      </c>
      <c r="E11" s="66"/>
      <c r="F11" s="57">
        <v>-2717083.0886444934</v>
      </c>
      <c r="J11" s="52"/>
      <c r="N11" s="52"/>
    </row>
    <row r="12" spans="1:14">
      <c r="A12" s="54" t="s">
        <v>85</v>
      </c>
      <c r="B12" s="57"/>
      <c r="C12" s="68">
        <f t="shared" si="1"/>
        <v>0</v>
      </c>
      <c r="D12" s="67">
        <f t="shared" si="2"/>
        <v>0</v>
      </c>
      <c r="E12" s="66"/>
      <c r="F12" s="57">
        <v>0</v>
      </c>
    </row>
    <row r="13" spans="1:14">
      <c r="A13" s="54" t="s">
        <v>105</v>
      </c>
      <c r="B13" s="57">
        <f>F13*K2</f>
        <v>105231.50995111951</v>
      </c>
      <c r="C13" s="68">
        <f t="shared" si="1"/>
        <v>963.41893999999991</v>
      </c>
      <c r="D13" s="67">
        <f t="shared" si="2"/>
        <v>50691.014885853496</v>
      </c>
      <c r="E13" s="66"/>
      <c r="F13" s="57">
        <v>469155.86333333328</v>
      </c>
      <c r="J13" s="52"/>
      <c r="N13" s="94"/>
    </row>
    <row r="14" spans="1:14">
      <c r="A14" s="54" t="s">
        <v>104</v>
      </c>
      <c r="B14" s="57">
        <f>F14*$K$2</f>
        <v>-141018.77882709578</v>
      </c>
      <c r="C14" s="68">
        <f>IF(B14&lt;&gt;0,$H$1,0)</f>
        <v>963.41893999999991</v>
      </c>
      <c r="D14" s="67">
        <f>(+B14*C14)/2000</f>
        <v>-67930.081208847521</v>
      </c>
      <c r="E14" s="66"/>
      <c r="F14" s="57">
        <v>-628707</v>
      </c>
      <c r="J14" s="52"/>
    </row>
    <row r="15" spans="1:14">
      <c r="A15" s="54"/>
      <c r="B15" s="57"/>
      <c r="C15" s="68"/>
      <c r="D15" s="67"/>
      <c r="E15" s="66"/>
      <c r="F15" s="57"/>
      <c r="J15" s="52"/>
    </row>
    <row r="16" spans="1:14" ht="15.75" thickBot="1">
      <c r="A16" s="20"/>
      <c r="B16" s="57">
        <f t="shared" ref="B16" si="3">F16*$K$2</f>
        <v>0</v>
      </c>
      <c r="C16" s="58">
        <v>0</v>
      </c>
      <c r="D16" s="67">
        <f t="shared" si="2"/>
        <v>0</v>
      </c>
      <c r="F16" s="81"/>
      <c r="J16" s="52"/>
      <c r="N16" s="82"/>
    </row>
    <row r="17" spans="1:10" ht="16.5" thickTop="1" thickBot="1">
      <c r="A17" s="53"/>
      <c r="B17" s="59">
        <f>SUM(B4:B16)</f>
        <v>662440.50533861667</v>
      </c>
      <c r="C17" s="60"/>
      <c r="D17" s="61">
        <f>SUM(D4:D16)</f>
        <v>319103.86473319726</v>
      </c>
      <c r="F17" s="61">
        <f>SUM(F4:F16)</f>
        <v>2953117.5149315484</v>
      </c>
      <c r="J17" s="52"/>
    </row>
    <row r="19" spans="1:10">
      <c r="A19" t="str">
        <f>'Known Resources'!A45</f>
        <v>2018 Washington - WCA Allocation Factor</v>
      </c>
      <c r="B19" s="101">
        <f>'Known Resources'!B45</f>
        <v>0.22559655387912098</v>
      </c>
      <c r="D19" s="87"/>
      <c r="F19" s="82"/>
      <c r="J19" s="96"/>
    </row>
    <row r="20" spans="1:10">
      <c r="F20" s="82"/>
    </row>
    <row r="21" spans="1:10">
      <c r="B21" s="84"/>
      <c r="D21" s="102"/>
      <c r="E21" s="52"/>
      <c r="F21" s="94"/>
    </row>
    <row r="22" spans="1:10">
      <c r="F22" s="82"/>
    </row>
    <row r="23" spans="1:10">
      <c r="A23" t="s">
        <v>94</v>
      </c>
    </row>
  </sheetData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BAC173E-262D-4BFB-B184-0ECF260D451E}"/>
</file>

<file path=customXml/itemProps2.xml><?xml version="1.0" encoding="utf-8"?>
<ds:datastoreItem xmlns:ds="http://schemas.openxmlformats.org/officeDocument/2006/customXml" ds:itemID="{7308AAA7-B2B4-4F61-9E79-EA5115FE33A7}"/>
</file>

<file path=customXml/itemProps3.xml><?xml version="1.0" encoding="utf-8"?>
<ds:datastoreItem xmlns:ds="http://schemas.openxmlformats.org/officeDocument/2006/customXml" ds:itemID="{5E81A90B-4375-4881-93FC-D267CB96479C}"/>
</file>

<file path=customXml/itemProps4.xml><?xml version="1.0" encoding="utf-8"?>
<ds:datastoreItem xmlns:ds="http://schemas.openxmlformats.org/officeDocument/2006/customXml" ds:itemID="{9AE3EF70-302D-43ED-A2EA-FD12CA96A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2018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2025-05-28T14:57:06Z</dcterms:created>
  <dcterms:modified xsi:type="dcterms:W3CDTF">2025-05-28T14:57:13Z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