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4.bin" ContentType="application/vnd.openxmlformats-officedocument.spreadsheetml.printerSettings"/>
  <Override PartName="/docProps/core.xml" ContentType="application/vnd.openxmlformats-package.core-properties+xml"/>
  <Override PartName="/xl/calcChain.xml" ContentType="application/vnd.openxmlformats-officedocument.spreadsheetml.calcChain+xml"/>
  <Override PartName="/xl/printerSettings/printerSettings5.bin" ContentType="application/vnd.openxmlformats-officedocument.spreadsheetml.printerSettings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0" yWindow="180" windowWidth="20490" windowHeight="7365" tabRatio="713"/>
  </bookViews>
  <sheets>
    <sheet name="Electric" sheetId="24" r:id="rId1"/>
    <sheet name="Gas" sheetId="25" r:id="rId2"/>
    <sheet name="2024 AMI in  Ratebase" sheetId="22" r:id="rId3"/>
    <sheet name="AMI" sheetId="32" r:id="rId4"/>
    <sheet name="Plant Assets" sheetId="33" r:id="rId5"/>
    <sheet name="AMI DFIT" sheetId="29" r:id="rId6"/>
    <sheet name="45600155" sheetId="27" r:id="rId7"/>
    <sheet name="49500071" sheetId="28" r:id="rId8"/>
    <sheet name="AMI Debt Return proof" sheetId="3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localSheetId="8" hidden="1">[1]ConsolidatingPL!#REF!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8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localSheetId="8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8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Company">'[2]Named Ranges E'!$B$2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ELETE01" localSheetId="8" hidden="1">{#N/A,#N/A,FALSE,"Coversheet";#N/A,#N/A,FALSE,"QA"}</definedName>
    <definedName name="DELETE01" hidden="1">{#N/A,#N/A,FALSE,"Coversheet";#N/A,#N/A,FALSE,"QA"}</definedName>
    <definedName name="DELETE02" localSheetId="8" hidden="1">{#N/A,#N/A,FALSE,"Schedule F";#N/A,#N/A,FALSE,"Schedule G"}</definedName>
    <definedName name="DELETE02" hidden="1">{#N/A,#N/A,FALSE,"Schedule F";#N/A,#N/A,FALSE,"Schedule G"}</definedName>
    <definedName name="Delete06" localSheetId="8" hidden="1">{#N/A,#N/A,FALSE,"Coversheet";#N/A,#N/A,FALSE,"QA"}</definedName>
    <definedName name="Delete06" hidden="1">{#N/A,#N/A,FALSE,"Coversheet";#N/A,#N/A,FALSE,"QA"}</definedName>
    <definedName name="Delete09" localSheetId="8" hidden="1">{#N/A,#N/A,FALSE,"Coversheet";#N/A,#N/A,FALSE,"QA"}</definedName>
    <definedName name="Delete09" hidden="1">{#N/A,#N/A,FALSE,"Coversheet";#N/A,#N/A,FALSE,"QA"}</definedName>
    <definedName name="Delete1" localSheetId="8" hidden="1">{#N/A,#N/A,FALSE,"Coversheet";#N/A,#N/A,FALSE,"QA"}</definedName>
    <definedName name="Delete1" hidden="1">{#N/A,#N/A,FALSE,"Coversheet";#N/A,#N/A,FALSE,"QA"}</definedName>
    <definedName name="Delete10" localSheetId="8" hidden="1">{#N/A,#N/A,FALSE,"Schedule F";#N/A,#N/A,FALSE,"Schedule G"}</definedName>
    <definedName name="Delete10" hidden="1">{#N/A,#N/A,FALSE,"Schedule F";#N/A,#N/A,FALSE,"Schedule G"}</definedName>
    <definedName name="Delete21" localSheetId="8" hidden="1">{#N/A,#N/A,FALSE,"Coversheet";#N/A,#N/A,FALSE,"QA"}</definedName>
    <definedName name="Delete21" hidden="1">{#N/A,#N/A,FALSE,"Coversheet";#N/A,#N/A,FALSE,"QA"}</definedName>
    <definedName name="DFIT" localSheetId="8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PMWorkbookOptions_2" hidden="1">"neDegofIWXJPzMBMrNgumTsYj5aNFMCdt0dWNNTCh0hB8BniemvYxQ1RY+NOmRs/FCA9sIzxmCT5vumtDpsVa3qv7M2IYa5obKFX3pp+Mh4VTQj/znhJEqWf+OOzafvwiaPD4fNmeM+zrbVZEO7sptIa5SoFczLXsWKbjoNX7WjsWKRctw590jW1NhvoTKwddPyo09OheZd+KQZHaVv3kNUAru2icYD2kKMJjo9So1kQMiuzSxIxCAF8C+7M"</definedName>
    <definedName name="EPMWorkbookOptions_3" hidden="1">"VxdZAe4rWoo4ueI7yp9aL1sb/wYatDFMcDO1IDLRemvldT6MOaOfOwv5QWFCZP9RoWzWpwU/N6oYt3Csf/YwUpIHQF5IOkeTnB/ViFcQbw8Dhu2N2EIB0tpGuTLaQDRmODr+QKzue7b5riDXgyh4PyIwCZqZfrYIc7hb4c2LEFYGlhiAQ+L8wpQfE0Geuo8KrwqSPmXxRyD8NMBUAL96+H+7knOidgrIex7awfvljWPZt1QIAkWc36mlOi+X"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rror" hidden="1">{#N/A,#N/A,FALSE,"Coversheet";#N/A,#N/A,FALSE,"QA"}</definedName>
    <definedName name="Estimate" localSheetId="8" hidden="1">{#N/A,#N/A,FALSE,"Summ";#N/A,#N/A,FALSE,"General"}</definedName>
    <definedName name="Estimate" hidden="1">{#N/A,#N/A,FALSE,"Summ";#N/A,#N/A,FALSE,"General"}</definedName>
    <definedName name="ex" localSheetId="8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Months">[3]Lists!$A$1:$A$12</definedName>
    <definedName name="new" localSheetId="8" hidden="1">{#N/A,#N/A,FALSE,"Summ";#N/A,#N/A,FALSE,"General"}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localSheetId="8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8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localSheetId="8" hidden="1">{#N/A,#N/A,FALSE,"Summ";#N/A,#N/A,FALSE,"General"}</definedName>
    <definedName name="TEMP" hidden="1">{#N/A,#N/A,FALSE,"Summ";#N/A,#N/A,FALSE,"General"}</definedName>
    <definedName name="Temp1" localSheetId="8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1">#REF!</definedName>
    <definedName name="TEST2">#REF!</definedName>
    <definedName name="TESTKEYS">#REF!</definedName>
    <definedName name="TESTVKEY">#REF!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8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8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8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8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localSheetId="8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8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8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8" hidden="1">{#N/A,#N/A,FALSE,"Coversheet";#N/A,#N/A,FALSE,"QA"}</definedName>
    <definedName name="wrn.Incentive._.Overhead." hidden="1">{#N/A,#N/A,FALSE,"Coversheet";#N/A,#N/A,FALSE,"QA"}</definedName>
    <definedName name="wrn.limit_reports." localSheetId="8" hidden="1">{#N/A,#N/A,FALSE,"Schedule F";#N/A,#N/A,FALSE,"Schedule G"}</definedName>
    <definedName name="wrn.limit_reports." hidden="1">{#N/A,#N/A,FALSE,"Schedule F";#N/A,#N/A,FALSE,"Schedule G"}</definedName>
    <definedName name="wrn.MARGIN_WO_QTR." localSheetId="8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8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8" hidden="1">{#N/A,#N/A,FALSE,"7617 Fab";#N/A,#N/A,FALSE,"7617 NSK"}</definedName>
    <definedName name="wrn.SCHEDULE." hidden="1">{#N/A,#N/A,FALSE,"7617 Fab";#N/A,#N/A,FALSE,"7617 NSK"}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8" hidden="1">{#N/A,#N/A,FALSE,"2002 Small Tool OH";#N/A,#N/A,FALSE,"QA"}</definedName>
    <definedName name="wrn.Small._.Tools._.Overhead." hidden="1">{#N/A,#N/A,FALSE,"2002 Small Tool OH";#N/A,#N/A,FALSE,"QA"}</definedName>
    <definedName name="wrn.Summary." localSheetId="8" hidden="1">{#N/A,#N/A,FALSE,"Summ";#N/A,#N/A,FALSE,"General"}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">[3]Lists!$C$1:$C$6</definedName>
    <definedName name="yuf" hidden="1">{#N/A,#N/A,FALSE,"Summ";#N/A,#N/A,FALSE,"General"}</definedName>
    <definedName name="z" hidden="1">{#N/A,#N/A,FALSE,"Coversheet";#N/A,#N/A,FALSE,"QA"}</definedName>
  </definedNames>
  <calcPr calcId="162913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5" l="1"/>
  <c r="C23" i="25"/>
  <c r="C22" i="25"/>
  <c r="G122" i="32" l="1"/>
  <c r="F122" i="32"/>
  <c r="D122" i="32"/>
  <c r="C122" i="32"/>
  <c r="F117" i="32"/>
  <c r="D117" i="32"/>
  <c r="C117" i="32"/>
  <c r="G116" i="32" l="1"/>
  <c r="F116" i="32"/>
  <c r="D116" i="32"/>
  <c r="C116" i="32"/>
  <c r="G115" i="32"/>
  <c r="F115" i="32"/>
  <c r="D115" i="32"/>
  <c r="C115" i="32"/>
  <c r="G114" i="32"/>
  <c r="F114" i="32"/>
  <c r="D114" i="32"/>
  <c r="C114" i="32"/>
  <c r="G113" i="32"/>
  <c r="F113" i="32"/>
  <c r="D113" i="32"/>
  <c r="C113" i="32"/>
  <c r="G112" i="32"/>
  <c r="F112" i="32"/>
  <c r="D112" i="32"/>
  <c r="C112" i="32"/>
  <c r="G111" i="32"/>
  <c r="F111" i="32"/>
  <c r="D111" i="32"/>
  <c r="C111" i="32"/>
  <c r="G110" i="32"/>
  <c r="F110" i="32"/>
  <c r="D110" i="32"/>
  <c r="C110" i="32"/>
  <c r="G109" i="32"/>
  <c r="F109" i="32"/>
  <c r="D109" i="32"/>
  <c r="C109" i="32"/>
  <c r="G108" i="32"/>
  <c r="F108" i="32"/>
  <c r="D108" i="32"/>
  <c r="C108" i="32"/>
  <c r="G107" i="32"/>
  <c r="F107" i="32"/>
  <c r="D107" i="32"/>
  <c r="C107" i="32"/>
  <c r="G106" i="32"/>
  <c r="F106" i="32"/>
  <c r="D106" i="32"/>
  <c r="C106" i="32"/>
  <c r="G105" i="32"/>
  <c r="F105" i="32"/>
  <c r="C105" i="32"/>
  <c r="D105" i="32"/>
  <c r="C90" i="32" l="1"/>
  <c r="H8" i="31" l="1"/>
  <c r="H6" i="31"/>
  <c r="F14" i="25"/>
  <c r="J12" i="31"/>
  <c r="G166" i="32"/>
  <c r="D166" i="32"/>
  <c r="F166" i="32"/>
  <c r="J128" i="32"/>
  <c r="I128" i="32"/>
  <c r="G128" i="32"/>
  <c r="F128" i="32"/>
  <c r="D128" i="32"/>
  <c r="C128" i="32"/>
  <c r="C166" i="32"/>
  <c r="M118" i="32" l="1"/>
  <c r="L118" i="32"/>
  <c r="AM17" i="29" l="1"/>
  <c r="AM18" i="29"/>
  <c r="AM19" i="29"/>
  <c r="AM16" i="29"/>
  <c r="AX23" i="29"/>
  <c r="AX24" i="29"/>
  <c r="AX25" i="29"/>
  <c r="AX22" i="29"/>
  <c r="AU14" i="29"/>
  <c r="AT14" i="29"/>
  <c r="AM30" i="29" l="1"/>
  <c r="AM25" i="29"/>
  <c r="AM24" i="29"/>
  <c r="AM39" i="29" s="1"/>
  <c r="AM23" i="29"/>
  <c r="AM22" i="29"/>
  <c r="AM28" i="29" s="1"/>
  <c r="AL16" i="29"/>
  <c r="AN16" i="29"/>
  <c r="AN22" i="29" s="1"/>
  <c r="AL17" i="29"/>
  <c r="AN17" i="29"/>
  <c r="AO17" i="29"/>
  <c r="AP17" i="29"/>
  <c r="AQ17" i="29"/>
  <c r="AR17" i="29"/>
  <c r="AS17" i="29"/>
  <c r="AT17" i="29" s="1"/>
  <c r="AU17" i="29" s="1"/>
  <c r="AV17" i="29" s="1"/>
  <c r="AW17" i="29" s="1"/>
  <c r="AX17" i="29" s="1"/>
  <c r="AL18" i="29"/>
  <c r="AN18" i="29"/>
  <c r="AO18" i="29" s="1"/>
  <c r="AP18" i="29" s="1"/>
  <c r="AQ18" i="29" s="1"/>
  <c r="AR18" i="29" s="1"/>
  <c r="AS18" i="29" s="1"/>
  <c r="AT18" i="29" s="1"/>
  <c r="AU18" i="29" s="1"/>
  <c r="AV18" i="29" s="1"/>
  <c r="AW18" i="29" s="1"/>
  <c r="AX18" i="29" s="1"/>
  <c r="AL19" i="29"/>
  <c r="AN19" i="29"/>
  <c r="AO19" i="29"/>
  <c r="AP19" i="29"/>
  <c r="AQ19" i="29"/>
  <c r="AR19" i="29" s="1"/>
  <c r="AS19" i="29" s="1"/>
  <c r="AT19" i="29" s="1"/>
  <c r="AU19" i="29" s="1"/>
  <c r="AV19" i="29" s="1"/>
  <c r="AW19" i="29" s="1"/>
  <c r="AX19" i="29" s="1"/>
  <c r="AM40" i="29" l="1"/>
  <c r="AM41" i="29" s="1"/>
  <c r="AM31" i="29"/>
  <c r="AN24" i="29"/>
  <c r="AN25" i="29"/>
  <c r="AM38" i="29"/>
  <c r="AM29" i="29"/>
  <c r="AN23" i="29"/>
  <c r="AN28" i="29"/>
  <c r="AN37" i="29"/>
  <c r="AO16" i="29"/>
  <c r="AP16" i="29" s="1"/>
  <c r="AQ16" i="29" s="1"/>
  <c r="AR16" i="29" s="1"/>
  <c r="AS16" i="29" s="1"/>
  <c r="AT16" i="29" s="1"/>
  <c r="AU16" i="29" s="1"/>
  <c r="AV16" i="29" s="1"/>
  <c r="AW16" i="29" s="1"/>
  <c r="AX16" i="29" s="1"/>
  <c r="AM37" i="29"/>
  <c r="AN26" i="29"/>
  <c r="AX26" i="29"/>
  <c r="AM45" i="29"/>
  <c r="AN45" i="29"/>
  <c r="AO45" i="29"/>
  <c r="AP45" i="29"/>
  <c r="AQ45" i="29"/>
  <c r="AR45" i="29"/>
  <c r="AS45" i="29"/>
  <c r="AT45" i="29"/>
  <c r="AU45" i="29"/>
  <c r="AV45" i="29"/>
  <c r="AW45" i="29"/>
  <c r="AX45" i="29"/>
  <c r="E1" i="29"/>
  <c r="D1" i="29"/>
  <c r="AO23" i="29" l="1"/>
  <c r="AN29" i="29"/>
  <c r="AN38" i="29"/>
  <c r="AO25" i="29"/>
  <c r="AN31" i="29"/>
  <c r="AN40" i="29"/>
  <c r="AN30" i="29"/>
  <c r="AN39" i="29"/>
  <c r="AO24" i="29"/>
  <c r="AO22" i="29"/>
  <c r="AN41" i="29"/>
  <c r="AM26" i="29"/>
  <c r="AM32" i="29" s="1"/>
  <c r="AP23" i="29" l="1"/>
  <c r="AO29" i="29"/>
  <c r="AO38" i="29"/>
  <c r="AO30" i="29"/>
  <c r="AO39" i="29"/>
  <c r="AP24" i="29"/>
  <c r="AP25" i="29"/>
  <c r="AO31" i="29"/>
  <c r="AO40" i="29"/>
  <c r="AP22" i="29"/>
  <c r="AO28" i="29"/>
  <c r="AO37" i="29"/>
  <c r="AO26" i="29"/>
  <c r="AO32" i="29" s="1"/>
  <c r="AN32" i="29"/>
  <c r="AQ25" i="29" l="1"/>
  <c r="AP31" i="29"/>
  <c r="AP40" i="29"/>
  <c r="AP30" i="29"/>
  <c r="AP39" i="29"/>
  <c r="AQ24" i="29"/>
  <c r="AQ23" i="29"/>
  <c r="AP38" i="29"/>
  <c r="AP29" i="29"/>
  <c r="AO41" i="29"/>
  <c r="AQ22" i="29"/>
  <c r="AP28" i="29"/>
  <c r="AP37" i="29"/>
  <c r="AP26" i="29"/>
  <c r="AP32" i="29" s="1"/>
  <c r="C24" i="24"/>
  <c r="C23" i="24"/>
  <c r="C22" i="24"/>
  <c r="AR25" i="29" l="1"/>
  <c r="AQ40" i="29"/>
  <c r="AQ31" i="29"/>
  <c r="AR24" i="29"/>
  <c r="AQ30" i="29"/>
  <c r="AQ39" i="29"/>
  <c r="AR23" i="29"/>
  <c r="AQ29" i="29"/>
  <c r="AQ38" i="29"/>
  <c r="AP41" i="29"/>
  <c r="AR22" i="29"/>
  <c r="AQ28" i="29"/>
  <c r="AQ37" i="29"/>
  <c r="AQ26" i="29"/>
  <c r="AQ32" i="29" s="1"/>
  <c r="J52" i="32"/>
  <c r="I52" i="32"/>
  <c r="G52" i="32"/>
  <c r="G90" i="32" s="1"/>
  <c r="F52" i="32"/>
  <c r="D52" i="32"/>
  <c r="C52" i="32"/>
  <c r="D21" i="33"/>
  <c r="C21" i="33"/>
  <c r="G21" i="33"/>
  <c r="F21" i="33"/>
  <c r="J21" i="33"/>
  <c r="I21" i="33"/>
  <c r="F69" i="32"/>
  <c r="G67" i="32"/>
  <c r="D68" i="32"/>
  <c r="F68" i="32"/>
  <c r="G68" i="32"/>
  <c r="J71" i="32"/>
  <c r="J85" i="32"/>
  <c r="F77" i="32"/>
  <c r="G77" i="32"/>
  <c r="I77" i="32"/>
  <c r="C54" i="32"/>
  <c r="D54" i="32"/>
  <c r="F54" i="32"/>
  <c r="G54" i="32"/>
  <c r="I54" i="32"/>
  <c r="J54" i="32"/>
  <c r="C55" i="32"/>
  <c r="D55" i="32"/>
  <c r="F55" i="32"/>
  <c r="G55" i="32"/>
  <c r="I55" i="32"/>
  <c r="J55" i="32"/>
  <c r="C56" i="32"/>
  <c r="D56" i="32"/>
  <c r="F56" i="32"/>
  <c r="G56" i="32"/>
  <c r="I56" i="32"/>
  <c r="J56" i="32"/>
  <c r="C57" i="32"/>
  <c r="D57" i="32"/>
  <c r="F57" i="32"/>
  <c r="G57" i="32"/>
  <c r="I57" i="32"/>
  <c r="J57" i="32"/>
  <c r="C58" i="32"/>
  <c r="D58" i="32"/>
  <c r="F58" i="32"/>
  <c r="G58" i="32"/>
  <c r="I58" i="32"/>
  <c r="J58" i="32"/>
  <c r="C59" i="32"/>
  <c r="D59" i="32"/>
  <c r="F59" i="32"/>
  <c r="G59" i="32"/>
  <c r="I59" i="32"/>
  <c r="J59" i="32"/>
  <c r="C60" i="32"/>
  <c r="D60" i="32"/>
  <c r="F60" i="32"/>
  <c r="G60" i="32"/>
  <c r="I60" i="32"/>
  <c r="J60" i="32"/>
  <c r="C61" i="32"/>
  <c r="D61" i="32"/>
  <c r="F61" i="32"/>
  <c r="G61" i="32"/>
  <c r="I61" i="32"/>
  <c r="J61" i="32"/>
  <c r="C62" i="32"/>
  <c r="D62" i="32"/>
  <c r="F62" i="32"/>
  <c r="G62" i="32"/>
  <c r="I62" i="32"/>
  <c r="J62" i="32"/>
  <c r="C63" i="32"/>
  <c r="D63" i="32"/>
  <c r="F63" i="32"/>
  <c r="G63" i="32"/>
  <c r="I63" i="32"/>
  <c r="J63" i="32"/>
  <c r="C64" i="32"/>
  <c r="D64" i="32"/>
  <c r="F64" i="32"/>
  <c r="G64" i="32"/>
  <c r="I64" i="32"/>
  <c r="J64" i="32"/>
  <c r="C65" i="32"/>
  <c r="D65" i="32"/>
  <c r="F65" i="32"/>
  <c r="G65" i="32"/>
  <c r="I65" i="32"/>
  <c r="J65" i="32"/>
  <c r="C66" i="32"/>
  <c r="D66" i="32"/>
  <c r="F66" i="32"/>
  <c r="G66" i="32"/>
  <c r="I66" i="32"/>
  <c r="C104" i="32" s="1"/>
  <c r="C142" i="32" s="1"/>
  <c r="J66" i="32"/>
  <c r="D104" i="32" s="1"/>
  <c r="C67" i="32"/>
  <c r="D67" i="32"/>
  <c r="F67" i="32"/>
  <c r="C68" i="32"/>
  <c r="C101" i="32"/>
  <c r="E3" i="29"/>
  <c r="C93" i="32"/>
  <c r="G93" i="32"/>
  <c r="G131" i="32" s="1"/>
  <c r="C97" i="32"/>
  <c r="C98" i="32"/>
  <c r="D98" i="32"/>
  <c r="F98" i="32"/>
  <c r="C100" i="32"/>
  <c r="E161" i="32"/>
  <c r="C86" i="32" l="1"/>
  <c r="F90" i="32"/>
  <c r="D90" i="32"/>
  <c r="AM43" i="29"/>
  <c r="AM54" i="29" s="1"/>
  <c r="AN43" i="29"/>
  <c r="AN54" i="29" s="1"/>
  <c r="AO43" i="29"/>
  <c r="AO54" i="29" s="1"/>
  <c r="C139" i="32"/>
  <c r="I89" i="32"/>
  <c r="F127" i="32" s="1"/>
  <c r="C135" i="32"/>
  <c r="D84" i="32"/>
  <c r="J90" i="32"/>
  <c r="I90" i="32"/>
  <c r="C84" i="32"/>
  <c r="I86" i="32"/>
  <c r="C124" i="32" s="1"/>
  <c r="D83" i="32"/>
  <c r="C103" i="32"/>
  <c r="C141" i="32" s="1"/>
  <c r="I88" i="32"/>
  <c r="C126" i="32" s="1"/>
  <c r="G78" i="32"/>
  <c r="C83" i="32"/>
  <c r="G69" i="32"/>
  <c r="F85" i="32"/>
  <c r="D102" i="32"/>
  <c r="D140" i="32" s="1"/>
  <c r="G95" i="32"/>
  <c r="G133" i="32" s="1"/>
  <c r="D72" i="32"/>
  <c r="J86" i="32"/>
  <c r="D124" i="32" s="1"/>
  <c r="D94" i="32"/>
  <c r="D132" i="32" s="1"/>
  <c r="D3" i="29"/>
  <c r="AQ42" i="29" s="1"/>
  <c r="AQ48" i="29" s="1"/>
  <c r="AQ43" i="29"/>
  <c r="AQ54" i="29" s="1"/>
  <c r="G85" i="32"/>
  <c r="C127" i="32"/>
  <c r="D100" i="32"/>
  <c r="D138" i="32" s="1"/>
  <c r="C82" i="32"/>
  <c r="AP43" i="29"/>
  <c r="AP54" i="29" s="1"/>
  <c r="AS25" i="29"/>
  <c r="AR40" i="29"/>
  <c r="AR31" i="29"/>
  <c r="AS23" i="29"/>
  <c r="AR29" i="29"/>
  <c r="AR38" i="29"/>
  <c r="AS24" i="29"/>
  <c r="AR30" i="29"/>
  <c r="AR39" i="29"/>
  <c r="AS22" i="29"/>
  <c r="AR28" i="29"/>
  <c r="AR37" i="29"/>
  <c r="AR26" i="29"/>
  <c r="AR32" i="29" s="1"/>
  <c r="AQ41" i="29"/>
  <c r="G123" i="32"/>
  <c r="G103" i="32"/>
  <c r="G141" i="32" s="1"/>
  <c r="D103" i="32"/>
  <c r="J103" i="32" s="1"/>
  <c r="J141" i="32" s="1"/>
  <c r="D99" i="32"/>
  <c r="G99" i="32"/>
  <c r="G137" i="32" s="1"/>
  <c r="G136" i="32"/>
  <c r="J89" i="32"/>
  <c r="G124" i="32"/>
  <c r="D87" i="32"/>
  <c r="D89" i="32"/>
  <c r="D77" i="32"/>
  <c r="D88" i="32"/>
  <c r="J75" i="32"/>
  <c r="J87" i="32"/>
  <c r="G84" i="32"/>
  <c r="D73" i="32"/>
  <c r="D85" i="32"/>
  <c r="J81" i="32"/>
  <c r="J83" i="32"/>
  <c r="G76" i="32"/>
  <c r="G72" i="32"/>
  <c r="G82" i="32"/>
  <c r="G70" i="32"/>
  <c r="G73" i="32"/>
  <c r="G81" i="32"/>
  <c r="J67" i="32"/>
  <c r="J74" i="32"/>
  <c r="J78" i="32"/>
  <c r="J69" i="32"/>
  <c r="J77" i="32"/>
  <c r="J70" i="32"/>
  <c r="J73" i="32"/>
  <c r="F93" i="32"/>
  <c r="F131" i="32" s="1"/>
  <c r="G94" i="32"/>
  <c r="G132" i="32" s="1"/>
  <c r="G98" i="32"/>
  <c r="J98" i="32" s="1"/>
  <c r="J136" i="32" s="1"/>
  <c r="G102" i="32"/>
  <c r="F97" i="32"/>
  <c r="F135" i="32" s="1"/>
  <c r="F94" i="32"/>
  <c r="F132" i="32" s="1"/>
  <c r="F102" i="32"/>
  <c r="F140" i="32" s="1"/>
  <c r="F101" i="32"/>
  <c r="F139" i="32" s="1"/>
  <c r="F104" i="32"/>
  <c r="G104" i="32"/>
  <c r="G142" i="32" s="1"/>
  <c r="F103" i="32"/>
  <c r="I103" i="32" s="1"/>
  <c r="I141" i="32" s="1"/>
  <c r="F99" i="32"/>
  <c r="F137" i="32" s="1"/>
  <c r="C95" i="32"/>
  <c r="C131" i="32"/>
  <c r="F78" i="32"/>
  <c r="F87" i="32"/>
  <c r="F89" i="32"/>
  <c r="C89" i="32"/>
  <c r="C165" i="32" s="1"/>
  <c r="C77" i="32"/>
  <c r="C87" i="32"/>
  <c r="C88" i="32"/>
  <c r="I75" i="32"/>
  <c r="I87" i="32"/>
  <c r="I85" i="32"/>
  <c r="C123" i="32" s="1"/>
  <c r="I84" i="32"/>
  <c r="F86" i="32"/>
  <c r="F74" i="32"/>
  <c r="F83" i="32"/>
  <c r="F84" i="32"/>
  <c r="C73" i="32"/>
  <c r="C85" i="32"/>
  <c r="I71" i="32"/>
  <c r="I83" i="32"/>
  <c r="I81" i="32"/>
  <c r="I82" i="32"/>
  <c r="C120" i="32" s="1"/>
  <c r="C158" i="32" s="1"/>
  <c r="F70" i="32"/>
  <c r="F82" i="32"/>
  <c r="F76" i="32"/>
  <c r="F71" i="32"/>
  <c r="F73" i="32"/>
  <c r="F80" i="32"/>
  <c r="F81" i="32"/>
  <c r="F79" i="32"/>
  <c r="F72" i="32"/>
  <c r="F75" i="32"/>
  <c r="C81" i="32"/>
  <c r="C69" i="32"/>
  <c r="C71" i="32"/>
  <c r="C78" i="32"/>
  <c r="C80" i="32"/>
  <c r="C75" i="32"/>
  <c r="C70" i="32"/>
  <c r="C79" i="32"/>
  <c r="C76" i="32"/>
  <c r="I98" i="32"/>
  <c r="I136" i="32" s="1"/>
  <c r="D75" i="32"/>
  <c r="D69" i="32"/>
  <c r="D142" i="32"/>
  <c r="G92" i="32"/>
  <c r="G130" i="32" s="1"/>
  <c r="G89" i="32"/>
  <c r="J82" i="32"/>
  <c r="G74" i="32"/>
  <c r="I101" i="32"/>
  <c r="I139" i="32" s="1"/>
  <c r="F96" i="32"/>
  <c r="F134" i="32" s="1"/>
  <c r="G88" i="32"/>
  <c r="I80" i="32"/>
  <c r="C74" i="32"/>
  <c r="G101" i="32"/>
  <c r="G139" i="32" s="1"/>
  <c r="F88" i="32"/>
  <c r="G80" i="32"/>
  <c r="F95" i="32"/>
  <c r="F133" i="32" s="1"/>
  <c r="G86" i="32"/>
  <c r="J79" i="32"/>
  <c r="C72" i="32"/>
  <c r="F153" i="32"/>
  <c r="D95" i="32"/>
  <c r="D71" i="32"/>
  <c r="D80" i="32"/>
  <c r="D81" i="32"/>
  <c r="D76" i="32"/>
  <c r="D79" i="32"/>
  <c r="F136" i="32"/>
  <c r="I67" i="32"/>
  <c r="I79" i="32"/>
  <c r="I72" i="32"/>
  <c r="I74" i="32"/>
  <c r="I76" i="32"/>
  <c r="I78" i="32"/>
  <c r="I69" i="32"/>
  <c r="C138" i="32"/>
  <c r="D78" i="32"/>
  <c r="J76" i="32"/>
  <c r="G75" i="32"/>
  <c r="J72" i="32"/>
  <c r="G71" i="32"/>
  <c r="G147" i="32" s="1"/>
  <c r="D70" i="32"/>
  <c r="I73" i="32"/>
  <c r="I70" i="32"/>
  <c r="C136" i="32"/>
  <c r="F92" i="32"/>
  <c r="F130" i="32" s="1"/>
  <c r="C92" i="32"/>
  <c r="G97" i="32"/>
  <c r="G135" i="32" s="1"/>
  <c r="G96" i="32"/>
  <c r="G134" i="32" s="1"/>
  <c r="I68" i="32"/>
  <c r="G100" i="32"/>
  <c r="D136" i="32"/>
  <c r="D74" i="32"/>
  <c r="J68" i="32"/>
  <c r="F100" i="32"/>
  <c r="F138" i="32" s="1"/>
  <c r="D133" i="32"/>
  <c r="D126" i="32"/>
  <c r="D123" i="32"/>
  <c r="D96" i="32"/>
  <c r="C102" i="32"/>
  <c r="C99" i="32"/>
  <c r="C96" i="32"/>
  <c r="D92" i="32"/>
  <c r="D93" i="32"/>
  <c r="J93" i="32" s="1"/>
  <c r="J131" i="32" s="1"/>
  <c r="D97" i="32"/>
  <c r="J97" i="32" s="1"/>
  <c r="J135" i="32" s="1"/>
  <c r="D101" i="32"/>
  <c r="J101" i="32" s="1"/>
  <c r="J139" i="32" s="1"/>
  <c r="C94" i="32"/>
  <c r="J88" i="32"/>
  <c r="G87" i="32"/>
  <c r="D86" i="32"/>
  <c r="J84" i="32"/>
  <c r="G83" i="32"/>
  <c r="D82" i="32"/>
  <c r="J80" i="32"/>
  <c r="G79" i="32"/>
  <c r="I115" i="32" l="1"/>
  <c r="I153" i="32" s="1"/>
  <c r="G161" i="32"/>
  <c r="I127" i="32"/>
  <c r="I165" i="32" s="1"/>
  <c r="J104" i="32"/>
  <c r="J142" i="32" s="1"/>
  <c r="J95" i="32"/>
  <c r="J133" i="32" s="1"/>
  <c r="I166" i="32"/>
  <c r="D15" i="22"/>
  <c r="F124" i="32"/>
  <c r="F162" i="32" s="1"/>
  <c r="I100" i="32"/>
  <c r="I138" i="32" s="1"/>
  <c r="J100" i="32"/>
  <c r="J138" i="32" s="1"/>
  <c r="J94" i="32"/>
  <c r="J132" i="32" s="1"/>
  <c r="F126" i="32"/>
  <c r="I126" i="32" s="1"/>
  <c r="I164" i="32" s="1"/>
  <c r="D131" i="32"/>
  <c r="J102" i="32"/>
  <c r="J140" i="32" s="1"/>
  <c r="AM42" i="29"/>
  <c r="AM48" i="29" s="1"/>
  <c r="AN42" i="29"/>
  <c r="AN48" i="29" s="1"/>
  <c r="AO42" i="29"/>
  <c r="AO48" i="29" s="1"/>
  <c r="AP42" i="29"/>
  <c r="AP48" i="29" s="1"/>
  <c r="D135" i="32"/>
  <c r="D162" i="32"/>
  <c r="G162" i="32"/>
  <c r="AT24" i="29"/>
  <c r="AS30" i="29"/>
  <c r="AS39" i="29"/>
  <c r="AR43" i="29"/>
  <c r="AR54" i="29" s="1"/>
  <c r="AT23" i="29"/>
  <c r="AS29" i="29"/>
  <c r="AS38" i="29"/>
  <c r="AT25" i="29"/>
  <c r="AS40" i="29"/>
  <c r="AS31" i="29"/>
  <c r="AR42" i="29"/>
  <c r="AR48" i="29" s="1"/>
  <c r="AR41" i="29"/>
  <c r="AT22" i="29"/>
  <c r="AS37" i="29"/>
  <c r="AS28" i="29"/>
  <c r="AS26" i="29"/>
  <c r="AS32" i="29" s="1"/>
  <c r="C15" i="22"/>
  <c r="F164" i="32"/>
  <c r="D14" i="22"/>
  <c r="F165" i="32"/>
  <c r="C146" i="32"/>
  <c r="J124" i="32"/>
  <c r="J162" i="32" s="1"/>
  <c r="J123" i="32"/>
  <c r="J161" i="32" s="1"/>
  <c r="I94" i="32"/>
  <c r="I132" i="32" s="1"/>
  <c r="C132" i="32"/>
  <c r="F149" i="32"/>
  <c r="F155" i="32"/>
  <c r="C150" i="32"/>
  <c r="F121" i="32"/>
  <c r="F159" i="32" s="1"/>
  <c r="C121" i="32"/>
  <c r="G118" i="32"/>
  <c r="G156" i="32" s="1"/>
  <c r="G144" i="32"/>
  <c r="F118" i="32"/>
  <c r="F156" i="32" s="1"/>
  <c r="C118" i="32"/>
  <c r="I118" i="32" s="1"/>
  <c r="I156" i="32" s="1"/>
  <c r="J122" i="32"/>
  <c r="J160" i="32" s="1"/>
  <c r="J92" i="32"/>
  <c r="J130" i="32" s="1"/>
  <c r="D130" i="32"/>
  <c r="F154" i="32"/>
  <c r="D19" i="22" s="1"/>
  <c r="C164" i="32"/>
  <c r="F142" i="32"/>
  <c r="I104" i="32"/>
  <c r="I142" i="32" s="1"/>
  <c r="G119" i="32"/>
  <c r="G157" i="32" s="1"/>
  <c r="D119" i="32"/>
  <c r="J119" i="32" s="1"/>
  <c r="J157" i="32" s="1"/>
  <c r="I96" i="32"/>
  <c r="I134" i="32" s="1"/>
  <c r="C134" i="32"/>
  <c r="F144" i="32"/>
  <c r="G152" i="32"/>
  <c r="F152" i="32"/>
  <c r="D157" i="32"/>
  <c r="G138" i="32"/>
  <c r="D161" i="32"/>
  <c r="I99" i="32"/>
  <c r="I137" i="32" s="1"/>
  <c r="C137" i="32"/>
  <c r="J109" i="32"/>
  <c r="J147" i="32" s="1"/>
  <c r="F150" i="32"/>
  <c r="F141" i="32"/>
  <c r="F120" i="32"/>
  <c r="F158" i="32" s="1"/>
  <c r="C153" i="32"/>
  <c r="G149" i="32"/>
  <c r="J111" i="32"/>
  <c r="J149" i="32" s="1"/>
  <c r="D160" i="32"/>
  <c r="C162" i="32"/>
  <c r="G126" i="32"/>
  <c r="J126" i="32" s="1"/>
  <c r="J164" i="32" s="1"/>
  <c r="C140" i="32"/>
  <c r="I102" i="32"/>
  <c r="I140" i="32" s="1"/>
  <c r="I117" i="32"/>
  <c r="I155" i="32" s="1"/>
  <c r="I97" i="32"/>
  <c r="I135" i="32" s="1"/>
  <c r="F146" i="32"/>
  <c r="F148" i="32"/>
  <c r="I110" i="32"/>
  <c r="I148" i="32" s="1"/>
  <c r="D147" i="32"/>
  <c r="G117" i="32"/>
  <c r="J117" i="32" s="1"/>
  <c r="J155" i="32" s="1"/>
  <c r="D141" i="32"/>
  <c r="C119" i="32"/>
  <c r="C157" i="32" s="1"/>
  <c r="F119" i="32"/>
  <c r="F157" i="32" s="1"/>
  <c r="G146" i="32"/>
  <c r="J108" i="32"/>
  <c r="J146" i="32" s="1"/>
  <c r="J99" i="32"/>
  <c r="J137" i="32" s="1"/>
  <c r="D137" i="32"/>
  <c r="D148" i="32"/>
  <c r="D134" i="32"/>
  <c r="J96" i="32"/>
  <c r="J134" i="32" s="1"/>
  <c r="G120" i="32"/>
  <c r="G158" i="32" s="1"/>
  <c r="F160" i="32"/>
  <c r="G153" i="32"/>
  <c r="D125" i="32"/>
  <c r="D163" i="32" s="1"/>
  <c r="G125" i="32"/>
  <c r="G163" i="32" s="1"/>
  <c r="I93" i="32"/>
  <c r="I131" i="32" s="1"/>
  <c r="F147" i="32"/>
  <c r="I109" i="32"/>
  <c r="I147" i="32" s="1"/>
  <c r="F123" i="32"/>
  <c r="F161" i="32" s="1"/>
  <c r="G145" i="32"/>
  <c r="D145" i="32"/>
  <c r="G151" i="32"/>
  <c r="G127" i="32"/>
  <c r="G165" i="32" s="1"/>
  <c r="D127" i="32"/>
  <c r="J127" i="32" s="1"/>
  <c r="J165" i="32"/>
  <c r="G140" i="32"/>
  <c r="D120" i="32"/>
  <c r="D118" i="32"/>
  <c r="D150" i="32"/>
  <c r="C161" i="32"/>
  <c r="F125" i="32"/>
  <c r="F163" i="32" s="1"/>
  <c r="C125" i="32"/>
  <c r="I125" i="32" s="1"/>
  <c r="I163" i="32" s="1"/>
  <c r="C143" i="32"/>
  <c r="D154" i="32"/>
  <c r="C19" i="22" s="1"/>
  <c r="G154" i="32"/>
  <c r="D164" i="32"/>
  <c r="D152" i="32"/>
  <c r="I92" i="32"/>
  <c r="I130" i="32" s="1"/>
  <c r="C130" i="32"/>
  <c r="J110" i="32"/>
  <c r="J148" i="32" s="1"/>
  <c r="F145" i="32"/>
  <c r="I107" i="32"/>
  <c r="I145" i="32" s="1"/>
  <c r="D155" i="32"/>
  <c r="D139" i="32"/>
  <c r="F151" i="32"/>
  <c r="I95" i="32"/>
  <c r="I133" i="32" s="1"/>
  <c r="C133" i="32"/>
  <c r="G150" i="32"/>
  <c r="G121" i="32"/>
  <c r="G159" i="32" s="1"/>
  <c r="D121" i="32"/>
  <c r="D153" i="32"/>
  <c r="I124" i="32" l="1"/>
  <c r="I162" i="32" s="1"/>
  <c r="J166" i="32"/>
  <c r="I111" i="32"/>
  <c r="I149" i="32" s="1"/>
  <c r="J112" i="32"/>
  <c r="J150" i="32" s="1"/>
  <c r="I108" i="32"/>
  <c r="I146" i="32" s="1"/>
  <c r="I113" i="32"/>
  <c r="I151" i="32" s="1"/>
  <c r="G164" i="32"/>
  <c r="J120" i="32"/>
  <c r="J158" i="32" s="1"/>
  <c r="I116" i="32"/>
  <c r="I154" i="32" s="1"/>
  <c r="AU23" i="29"/>
  <c r="AT29" i="29"/>
  <c r="AT38" i="29"/>
  <c r="AU25" i="29"/>
  <c r="AT40" i="29"/>
  <c r="AT31" i="29"/>
  <c r="AS43" i="29"/>
  <c r="AS54" i="29" s="1"/>
  <c r="AU24" i="29"/>
  <c r="AT30" i="29"/>
  <c r="AT39" i="29"/>
  <c r="AS42" i="29"/>
  <c r="AS48" i="29" s="1"/>
  <c r="AS41" i="29"/>
  <c r="AU22" i="29"/>
  <c r="AT28" i="29"/>
  <c r="AT37" i="29"/>
  <c r="AT26" i="29"/>
  <c r="AT32" i="29" s="1"/>
  <c r="I123" i="32"/>
  <c r="I161" i="32" s="1"/>
  <c r="O47" i="29" a="1"/>
  <c r="J115" i="32"/>
  <c r="J153" i="32" s="1"/>
  <c r="O46" i="29" a="1"/>
  <c r="C147" i="32"/>
  <c r="C154" i="32"/>
  <c r="G160" i="32"/>
  <c r="D149" i="32"/>
  <c r="J118" i="32"/>
  <c r="J156" i="32" s="1"/>
  <c r="C155" i="32"/>
  <c r="D14" i="24"/>
  <c r="F14" i="24" s="1"/>
  <c r="C14" i="22"/>
  <c r="F143" i="32"/>
  <c r="O52" i="29" a="1"/>
  <c r="C156" i="32"/>
  <c r="D158" i="32"/>
  <c r="G143" i="32"/>
  <c r="O53" i="29" a="1"/>
  <c r="D144" i="32"/>
  <c r="J106" i="32"/>
  <c r="J144" i="32" s="1"/>
  <c r="G155" i="32"/>
  <c r="J125" i="32"/>
  <c r="J163" i="32" s="1"/>
  <c r="C151" i="32"/>
  <c r="J105" i="32"/>
  <c r="J143" i="32" s="1"/>
  <c r="D143" i="32"/>
  <c r="C144" i="32"/>
  <c r="I106" i="32"/>
  <c r="I144" i="32" s="1"/>
  <c r="C149" i="32"/>
  <c r="I114" i="32"/>
  <c r="I152" i="32" s="1"/>
  <c r="C163" i="32"/>
  <c r="D165" i="32"/>
  <c r="I122" i="32"/>
  <c r="I160" i="32" s="1"/>
  <c r="C160" i="32"/>
  <c r="J121" i="32"/>
  <c r="J159" i="32" s="1"/>
  <c r="D159" i="32"/>
  <c r="C152" i="32"/>
  <c r="J113" i="32"/>
  <c r="J151" i="32" s="1"/>
  <c r="C148" i="32"/>
  <c r="I120" i="32"/>
  <c r="I158" i="32" s="1"/>
  <c r="I121" i="32"/>
  <c r="I159" i="32" s="1"/>
  <c r="C159" i="32"/>
  <c r="I119" i="32"/>
  <c r="I157" i="32" s="1"/>
  <c r="G148" i="32"/>
  <c r="D156" i="32"/>
  <c r="D146" i="32"/>
  <c r="J114" i="32"/>
  <c r="J152" i="32" s="1"/>
  <c r="J116" i="32"/>
  <c r="J154" i="32" s="1"/>
  <c r="C145" i="32"/>
  <c r="J107" i="32"/>
  <c r="J145" i="32" s="1"/>
  <c r="I105" i="32"/>
  <c r="I143" i="32" s="1"/>
  <c r="I112" i="32"/>
  <c r="I150" i="32" s="1"/>
  <c r="D151" i="32"/>
  <c r="AV25" i="29" l="1"/>
  <c r="AU40" i="29"/>
  <c r="AU31" i="29"/>
  <c r="AV24" i="29"/>
  <c r="AU30" i="29"/>
  <c r="AU39" i="29"/>
  <c r="AT43" i="29"/>
  <c r="AT54" i="29" s="1"/>
  <c r="AV23" i="29"/>
  <c r="AU29" i="29"/>
  <c r="AU38" i="29"/>
  <c r="AU43" i="29" s="1"/>
  <c r="AU54" i="29" s="1"/>
  <c r="AT42" i="29"/>
  <c r="AT48" i="29" s="1"/>
  <c r="AT41" i="29"/>
  <c r="AV22" i="29"/>
  <c r="AU28" i="29"/>
  <c r="AU37" i="29"/>
  <c r="AU26" i="29"/>
  <c r="AU32" i="29" s="1"/>
  <c r="AX46" i="29"/>
  <c r="AX49" i="29" s="1"/>
  <c r="AQ46" i="29"/>
  <c r="AA46" i="29"/>
  <c r="AL46" i="29"/>
  <c r="V46" i="29"/>
  <c r="U46" i="29"/>
  <c r="AJ46" i="29"/>
  <c r="T46" i="29"/>
  <c r="AK46" i="29"/>
  <c r="AI46" i="29"/>
  <c r="S46" i="29"/>
  <c r="AT46" i="29"/>
  <c r="AD46" i="29"/>
  <c r="AS46" i="29"/>
  <c r="AC46" i="29"/>
  <c r="O46" i="29"/>
  <c r="AR46" i="29"/>
  <c r="AB46" i="29"/>
  <c r="X46" i="29"/>
  <c r="AW46" i="29"/>
  <c r="R46" i="29"/>
  <c r="Z46" i="29"/>
  <c r="AV46" i="29"/>
  <c r="AP46" i="29"/>
  <c r="AM46" i="29"/>
  <c r="AU46" i="29"/>
  <c r="AO46" i="29"/>
  <c r="AF46" i="29"/>
  <c r="AN46" i="29"/>
  <c r="W46" i="29"/>
  <c r="AH46" i="29"/>
  <c r="AE46" i="29"/>
  <c r="Q46" i="29"/>
  <c r="Y46" i="29"/>
  <c r="AG46" i="29"/>
  <c r="P46" i="29"/>
  <c r="O52" i="29"/>
  <c r="V52" i="29"/>
  <c r="AD52" i="29"/>
  <c r="AL52" i="29"/>
  <c r="AK52" i="29"/>
  <c r="AF52" i="29"/>
  <c r="Z52" i="29"/>
  <c r="AS52" i="29"/>
  <c r="AJ52" i="29"/>
  <c r="X52" i="29"/>
  <c r="U52" i="29"/>
  <c r="AA52" i="29"/>
  <c r="P52" i="29"/>
  <c r="AG52" i="29"/>
  <c r="AH52" i="29"/>
  <c r="Q52" i="29"/>
  <c r="AW52" i="29"/>
  <c r="AQ52" i="29"/>
  <c r="AI52" i="29"/>
  <c r="AX52" i="29"/>
  <c r="AE52" i="29"/>
  <c r="AP52" i="29"/>
  <c r="AO52" i="29"/>
  <c r="AR52" i="29"/>
  <c r="AC52" i="29"/>
  <c r="T52" i="29"/>
  <c r="AB52" i="29"/>
  <c r="Y52" i="29"/>
  <c r="AV52" i="29"/>
  <c r="AT52" i="29"/>
  <c r="W52" i="29"/>
  <c r="AU52" i="29"/>
  <c r="AM52" i="29"/>
  <c r="S52" i="29"/>
  <c r="AN52" i="29"/>
  <c r="R52" i="29"/>
  <c r="O47" i="29"/>
  <c r="U47" i="29"/>
  <c r="AI47" i="29"/>
  <c r="AO47" i="29"/>
  <c r="AN47" i="29"/>
  <c r="AM47" i="29"/>
  <c r="V47" i="29"/>
  <c r="AA47" i="29"/>
  <c r="AF47" i="29"/>
  <c r="AE47" i="29"/>
  <c r="AS47" i="29"/>
  <c r="S47" i="29"/>
  <c r="Y47" i="29"/>
  <c r="X47" i="29"/>
  <c r="W47" i="29"/>
  <c r="AL47" i="29"/>
  <c r="P47" i="29"/>
  <c r="AJ47" i="29"/>
  <c r="AD47" i="29"/>
  <c r="AP47" i="29"/>
  <c r="R47" i="29"/>
  <c r="AW47" i="29"/>
  <c r="AG47" i="29"/>
  <c r="AR47" i="29"/>
  <c r="Q47" i="29"/>
  <c r="AC47" i="29"/>
  <c r="AB47" i="29"/>
  <c r="AK47" i="29"/>
  <c r="T47" i="29"/>
  <c r="AH47" i="29"/>
  <c r="AV47" i="29"/>
  <c r="AT47" i="29"/>
  <c r="AX47" i="29"/>
  <c r="Z47" i="29"/>
  <c r="AQ47" i="29"/>
  <c r="AU47" i="29"/>
  <c r="O53" i="29"/>
  <c r="AB53" i="29"/>
  <c r="AT53" i="29"/>
  <c r="AJ53" i="29"/>
  <c r="AC53" i="29"/>
  <c r="AD53" i="29"/>
  <c r="AK53" i="29"/>
  <c r="T53" i="29"/>
  <c r="AL53" i="29"/>
  <c r="U53" i="29"/>
  <c r="AR53" i="29"/>
  <c r="V53" i="29"/>
  <c r="AS53" i="29"/>
  <c r="AQ53" i="29"/>
  <c r="R53" i="29"/>
  <c r="AF53" i="29"/>
  <c r="AI53" i="29"/>
  <c r="X53" i="29"/>
  <c r="AA53" i="29"/>
  <c r="AO53" i="29"/>
  <c r="P53" i="29"/>
  <c r="AG53" i="29"/>
  <c r="AU53" i="29"/>
  <c r="AX53" i="29"/>
  <c r="AP53" i="29"/>
  <c r="AH53" i="29"/>
  <c r="AN53" i="29"/>
  <c r="AW53" i="29"/>
  <c r="S53" i="29"/>
  <c r="Y53" i="29"/>
  <c r="Q53" i="29"/>
  <c r="AV53" i="29"/>
  <c r="AM53" i="29"/>
  <c r="AE53" i="29"/>
  <c r="W53" i="29"/>
  <c r="Z53" i="29"/>
  <c r="A27" i="25"/>
  <c r="A28" i="25" s="1"/>
  <c r="A29" i="25" s="1"/>
  <c r="AS55" i="29" l="1"/>
  <c r="AP49" i="29"/>
  <c r="AQ55" i="29"/>
  <c r="AS49" i="29"/>
  <c r="AW23" i="29"/>
  <c r="AV38" i="29"/>
  <c r="AV29" i="29"/>
  <c r="AW24" i="29"/>
  <c r="AV39" i="29"/>
  <c r="AV30" i="29"/>
  <c r="AU55" i="29"/>
  <c r="AW25" i="29"/>
  <c r="AV31" i="29"/>
  <c r="AV40" i="29"/>
  <c r="AU42" i="29"/>
  <c r="AU48" i="29" s="1"/>
  <c r="AU49" i="29" s="1"/>
  <c r="AU41" i="29"/>
  <c r="AW22" i="29"/>
  <c r="AV37" i="29"/>
  <c r="AV28" i="29"/>
  <c r="AV26" i="29"/>
  <c r="AV32" i="29" s="1"/>
  <c r="AN55" i="29"/>
  <c r="AM55" i="29"/>
  <c r="AO49" i="29"/>
  <c r="AO55" i="29"/>
  <c r="AT55" i="29"/>
  <c r="AQ49" i="29"/>
  <c r="AN49" i="29"/>
  <c r="AR55" i="29"/>
  <c r="AT49" i="29"/>
  <c r="AP55" i="29"/>
  <c r="AM49" i="29"/>
  <c r="AR49" i="29"/>
  <c r="A27" i="24"/>
  <c r="A28" i="24"/>
  <c r="A29" i="24"/>
  <c r="AW31" i="29" l="1"/>
  <c r="AX31" i="29"/>
  <c r="AW40" i="29"/>
  <c r="AX40" i="29"/>
  <c r="AW30" i="29"/>
  <c r="AW39" i="29"/>
  <c r="AX30" i="29"/>
  <c r="AX39" i="29"/>
  <c r="AV43" i="29"/>
  <c r="AV54" i="29" s="1"/>
  <c r="AV55" i="29" s="1"/>
  <c r="AW38" i="29"/>
  <c r="AW43" i="29" s="1"/>
  <c r="AW54" i="29" s="1"/>
  <c r="AW55" i="29" s="1"/>
  <c r="AW29" i="29"/>
  <c r="AX29" i="29"/>
  <c r="AX38" i="29"/>
  <c r="AX43" i="29" s="1"/>
  <c r="AX54" i="29" s="1"/>
  <c r="AV42" i="29"/>
  <c r="AV48" i="29" s="1"/>
  <c r="AV49" i="29" s="1"/>
  <c r="AV41" i="29"/>
  <c r="AW37" i="29"/>
  <c r="AW28" i="29"/>
  <c r="AX28" i="29"/>
  <c r="AW26" i="29"/>
  <c r="AX37" i="29"/>
  <c r="G14" i="31"/>
  <c r="G13" i="31"/>
  <c r="G8" i="31"/>
  <c r="G9" i="31" s="1"/>
  <c r="G12" i="31" s="1"/>
  <c r="G6" i="31"/>
  <c r="D16" i="22" l="1"/>
  <c r="AX55" i="29"/>
  <c r="AX42" i="29"/>
  <c r="AX48" i="29" s="1"/>
  <c r="AX41" i="29"/>
  <c r="AW32" i="29"/>
  <c r="AX32" i="29"/>
  <c r="AW41" i="29"/>
  <c r="AW42" i="29"/>
  <c r="AW48" i="29" s="1"/>
  <c r="AW49" i="29" s="1"/>
  <c r="C16" i="22" l="1"/>
  <c r="H9" i="31"/>
  <c r="D20" i="24" l="1"/>
  <c r="D20" i="25"/>
  <c r="AL25" i="29"/>
  <c r="AL24" i="29"/>
  <c r="AL23" i="29"/>
  <c r="AL22" i="29"/>
  <c r="AL26" i="29" s="1"/>
  <c r="AF13" i="29"/>
  <c r="AF12" i="29"/>
  <c r="AF11" i="29"/>
  <c r="AG14" i="29"/>
  <c r="AF10" i="29"/>
  <c r="AF14" i="29" s="1"/>
  <c r="B14" i="29" l="1"/>
  <c r="C14" i="29"/>
  <c r="N14" i="29"/>
  <c r="O14" i="29"/>
  <c r="B22" i="29"/>
  <c r="C22" i="29"/>
  <c r="N22" i="29"/>
  <c r="O22" i="29"/>
  <c r="P22" i="29"/>
  <c r="Q22" i="29"/>
  <c r="Q28" i="29" s="1"/>
  <c r="R22" i="29"/>
  <c r="R28" i="29" s="1"/>
  <c r="B23" i="29"/>
  <c r="B26" i="29" s="1"/>
  <c r="N23" i="29"/>
  <c r="O23" i="29"/>
  <c r="P23" i="29"/>
  <c r="Q23" i="29"/>
  <c r="R23" i="29"/>
  <c r="S23" i="29"/>
  <c r="T23" i="29"/>
  <c r="U23" i="29"/>
  <c r="V23" i="29" s="1"/>
  <c r="B24" i="29"/>
  <c r="C24" i="29"/>
  <c r="D24" i="29"/>
  <c r="E24" i="29"/>
  <c r="F24" i="29"/>
  <c r="G24" i="29" s="1"/>
  <c r="N24" i="29"/>
  <c r="B25" i="29"/>
  <c r="C25" i="29"/>
  <c r="D25" i="29"/>
  <c r="E25" i="29"/>
  <c r="F25" i="29"/>
  <c r="G25" i="29"/>
  <c r="H25" i="29"/>
  <c r="I25" i="29"/>
  <c r="J25" i="29"/>
  <c r="N25" i="29"/>
  <c r="O25" i="29"/>
  <c r="P25" i="29" s="1"/>
  <c r="P31" i="29" s="1"/>
  <c r="Q25" i="29"/>
  <c r="R25" i="29"/>
  <c r="S25" i="29" s="1"/>
  <c r="O29" i="29"/>
  <c r="P29" i="29"/>
  <c r="Q29" i="29"/>
  <c r="R29" i="29"/>
  <c r="S29" i="29"/>
  <c r="T29" i="29"/>
  <c r="U29" i="29"/>
  <c r="V29" i="29"/>
  <c r="C30" i="29"/>
  <c r="D30" i="29"/>
  <c r="E30" i="29"/>
  <c r="C31" i="29"/>
  <c r="D31" i="29"/>
  <c r="E31" i="29"/>
  <c r="F31" i="29"/>
  <c r="G31" i="29"/>
  <c r="H31" i="29"/>
  <c r="O31" i="29"/>
  <c r="Q31" i="29"/>
  <c r="R31" i="29"/>
  <c r="N35" i="29"/>
  <c r="O35" i="29"/>
  <c r="P35" i="29"/>
  <c r="Q35" i="29"/>
  <c r="R35" i="29"/>
  <c r="S35" i="29"/>
  <c r="T35" i="29"/>
  <c r="U35" i="29"/>
  <c r="V35" i="29"/>
  <c r="W35" i="29"/>
  <c r="X35" i="29"/>
  <c r="Y35" i="29"/>
  <c r="Z35" i="29"/>
  <c r="AA35" i="29"/>
  <c r="AB35" i="29"/>
  <c r="AC35" i="29"/>
  <c r="AD35" i="29"/>
  <c r="AE35" i="29"/>
  <c r="AF35" i="29"/>
  <c r="AG35" i="29"/>
  <c r="AH35" i="29"/>
  <c r="AI35" i="29"/>
  <c r="AJ35" i="29"/>
  <c r="AK35" i="29"/>
  <c r="O45" i="29"/>
  <c r="P45" i="29"/>
  <c r="Q45" i="29"/>
  <c r="R45" i="29"/>
  <c r="S45" i="29"/>
  <c r="T45" i="29"/>
  <c r="U45" i="29"/>
  <c r="V45" i="29"/>
  <c r="W45" i="29"/>
  <c r="X45" i="29"/>
  <c r="Y45" i="29"/>
  <c r="Z45" i="29"/>
  <c r="AA45" i="29"/>
  <c r="AB45" i="29"/>
  <c r="AC45" i="29"/>
  <c r="AD45" i="29"/>
  <c r="AE45" i="29"/>
  <c r="AF45" i="29"/>
  <c r="AG45" i="29"/>
  <c r="AH45" i="29"/>
  <c r="AI45" i="29"/>
  <c r="AJ45" i="29"/>
  <c r="AK45" i="29"/>
  <c r="AL45" i="29"/>
  <c r="I31" i="29" l="1"/>
  <c r="G30" i="29"/>
  <c r="H24" i="29"/>
  <c r="S22" i="29"/>
  <c r="W23" i="29"/>
  <c r="P28" i="29"/>
  <c r="O28" i="29"/>
  <c r="N26" i="29"/>
  <c r="O24" i="29"/>
  <c r="F30" i="29"/>
  <c r="K25" i="29"/>
  <c r="J31" i="29"/>
  <c r="C23" i="29"/>
  <c r="S31" i="29"/>
  <c r="T25" i="29"/>
  <c r="D22" i="29"/>
  <c r="C26" i="29"/>
  <c r="C32" i="29" s="1"/>
  <c r="C28" i="29"/>
  <c r="W29" i="29" l="1"/>
  <c r="X23" i="29"/>
  <c r="D28" i="29"/>
  <c r="E22" i="29"/>
  <c r="T31" i="29"/>
  <c r="U25" i="29"/>
  <c r="O30" i="29"/>
  <c r="P24" i="29"/>
  <c r="S28" i="29"/>
  <c r="T22" i="29"/>
  <c r="C29" i="29"/>
  <c r="D23" i="29"/>
  <c r="H30" i="29"/>
  <c r="I24" i="29"/>
  <c r="K31" i="29"/>
  <c r="L25" i="29"/>
  <c r="O26" i="29"/>
  <c r="O32" i="29" s="1"/>
  <c r="U31" i="29" l="1"/>
  <c r="V25" i="29"/>
  <c r="D29" i="29"/>
  <c r="E23" i="29"/>
  <c r="E26" i="29" s="1"/>
  <c r="E32" i="29" s="1"/>
  <c r="T28" i="29"/>
  <c r="U22" i="29"/>
  <c r="P30" i="29"/>
  <c r="Q24" i="29"/>
  <c r="P26" i="29"/>
  <c r="P32" i="29" s="1"/>
  <c r="L31" i="29"/>
  <c r="M25" i="29"/>
  <c r="Q40" i="29" s="1"/>
  <c r="E28" i="29"/>
  <c r="F22" i="29"/>
  <c r="I30" i="29"/>
  <c r="J24" i="29"/>
  <c r="D26" i="29"/>
  <c r="D32" i="29" s="1"/>
  <c r="X29" i="29"/>
  <c r="Y23" i="29"/>
  <c r="E19" i="22" l="1"/>
  <c r="D15" i="24"/>
  <c r="Y29" i="29"/>
  <c r="Z23" i="29"/>
  <c r="T40" i="29"/>
  <c r="Q30" i="29"/>
  <c r="R24" i="29"/>
  <c r="Q26" i="29"/>
  <c r="Q32" i="29" s="1"/>
  <c r="K24" i="29"/>
  <c r="J30" i="29"/>
  <c r="U28" i="29"/>
  <c r="V22" i="29"/>
  <c r="U40" i="29"/>
  <c r="M31" i="29"/>
  <c r="N31" i="29"/>
  <c r="O40" i="29"/>
  <c r="P40" i="29"/>
  <c r="S40" i="29"/>
  <c r="G22" i="29"/>
  <c r="F28" i="29"/>
  <c r="E29" i="29"/>
  <c r="F23" i="29"/>
  <c r="R40" i="29"/>
  <c r="W25" i="29"/>
  <c r="V31" i="29"/>
  <c r="V40" i="29"/>
  <c r="N40" i="29"/>
  <c r="E14" i="24" l="1"/>
  <c r="F15" i="24"/>
  <c r="E13" i="29"/>
  <c r="F13" i="29"/>
  <c r="G23" i="29"/>
  <c r="F29" i="29"/>
  <c r="W22" i="29"/>
  <c r="V28" i="29"/>
  <c r="X25" i="29"/>
  <c r="W31" i="29"/>
  <c r="W40" i="29"/>
  <c r="L24" i="29"/>
  <c r="K30" i="29"/>
  <c r="F26" i="29"/>
  <c r="F32" i="29" s="1"/>
  <c r="S24" i="29"/>
  <c r="R30" i="29"/>
  <c r="R26" i="29"/>
  <c r="R32" i="29" s="1"/>
  <c r="G28" i="29"/>
  <c r="H22" i="29"/>
  <c r="G26" i="29"/>
  <c r="G32" i="29" s="1"/>
  <c r="AA17" i="29"/>
  <c r="AB17" i="29" s="1"/>
  <c r="AC17" i="29" s="1"/>
  <c r="AD17" i="29" s="1"/>
  <c r="AE17" i="29" s="1"/>
  <c r="AF17" i="29" s="1"/>
  <c r="AG17" i="29" s="1"/>
  <c r="AH17" i="29" s="1"/>
  <c r="AI17" i="29" s="1"/>
  <c r="AJ17" i="29" s="1"/>
  <c r="AK17" i="29" s="1"/>
  <c r="Z29" i="29"/>
  <c r="Z38" i="29"/>
  <c r="E15" i="24" l="1"/>
  <c r="AA23" i="29"/>
  <c r="Y25" i="29"/>
  <c r="X31" i="29"/>
  <c r="X40" i="29"/>
  <c r="L30" i="29"/>
  <c r="M24" i="29"/>
  <c r="R11" i="29"/>
  <c r="AB23" i="29"/>
  <c r="AA29" i="29"/>
  <c r="AA38" i="29"/>
  <c r="H28" i="29"/>
  <c r="I22" i="29"/>
  <c r="H26" i="29"/>
  <c r="H32" i="29" s="1"/>
  <c r="X22" i="29"/>
  <c r="W28" i="29"/>
  <c r="T24" i="29"/>
  <c r="S30" i="29"/>
  <c r="S39" i="29"/>
  <c r="S26" i="29"/>
  <c r="S32" i="29" s="1"/>
  <c r="H23" i="29"/>
  <c r="G29" i="29"/>
  <c r="Q39" i="29"/>
  <c r="H29" i="29" l="1"/>
  <c r="I23" i="29"/>
  <c r="I28" i="29"/>
  <c r="I26" i="29"/>
  <c r="I32" i="29" s="1"/>
  <c r="J22" i="29"/>
  <c r="AB29" i="29"/>
  <c r="AC23" i="29"/>
  <c r="AB38" i="29"/>
  <c r="M30" i="29"/>
  <c r="N30" i="29"/>
  <c r="O39" i="29"/>
  <c r="N39" i="29"/>
  <c r="P39" i="29"/>
  <c r="U24" i="29"/>
  <c r="T30" i="29"/>
  <c r="T39" i="29"/>
  <c r="T26" i="29"/>
  <c r="T32" i="29" s="1"/>
  <c r="Z25" i="29"/>
  <c r="Y31" i="29"/>
  <c r="Y40" i="29"/>
  <c r="X28" i="29"/>
  <c r="Y22" i="29"/>
  <c r="R39" i="29"/>
  <c r="AA19" i="29" l="1"/>
  <c r="AB19" i="29" s="1"/>
  <c r="AC19" i="29" s="1"/>
  <c r="AD19" i="29" s="1"/>
  <c r="AE19" i="29" s="1"/>
  <c r="AF19" i="29" s="1"/>
  <c r="AG19" i="29" s="1"/>
  <c r="AH19" i="29" s="1"/>
  <c r="AI19" i="29" s="1"/>
  <c r="AJ19" i="29" s="1"/>
  <c r="AK19" i="29" s="1"/>
  <c r="AA25" i="29"/>
  <c r="Z31" i="29"/>
  <c r="Z40" i="29"/>
  <c r="Z22" i="29"/>
  <c r="Y28" i="29"/>
  <c r="AC29" i="29"/>
  <c r="AD23" i="29"/>
  <c r="AC38" i="29"/>
  <c r="J26" i="29"/>
  <c r="J32" i="29" s="1"/>
  <c r="J28" i="29"/>
  <c r="K22" i="29"/>
  <c r="V24" i="29"/>
  <c r="U30" i="29"/>
  <c r="U39" i="29"/>
  <c r="U26" i="29"/>
  <c r="U32" i="29" s="1"/>
  <c r="E12" i="29"/>
  <c r="F12" i="29"/>
  <c r="J23" i="29"/>
  <c r="I29" i="29"/>
  <c r="K28" i="29" l="1"/>
  <c r="L22" i="29"/>
  <c r="AA16" i="29"/>
  <c r="AB16" i="29" s="1"/>
  <c r="AC16" i="29" s="1"/>
  <c r="AD16" i="29" s="1"/>
  <c r="AE16" i="29" s="1"/>
  <c r="AF16" i="29" s="1"/>
  <c r="AG16" i="29" s="1"/>
  <c r="AH16" i="29" s="1"/>
  <c r="AI16" i="29" s="1"/>
  <c r="AJ16" i="29" s="1"/>
  <c r="AK16" i="29" s="1"/>
  <c r="Z28" i="29"/>
  <c r="Z37" i="29"/>
  <c r="K23" i="29"/>
  <c r="J29" i="29"/>
  <c r="AE23" i="29"/>
  <c r="AD29" i="29"/>
  <c r="AD38" i="29"/>
  <c r="AB25" i="29"/>
  <c r="AA31" i="29"/>
  <c r="AA40" i="29"/>
  <c r="W24" i="29"/>
  <c r="V30" i="29"/>
  <c r="V39" i="29"/>
  <c r="V26" i="29"/>
  <c r="V32" i="29" s="1"/>
  <c r="X24" i="29" l="1"/>
  <c r="W30" i="29"/>
  <c r="W39" i="29"/>
  <c r="W26" i="29"/>
  <c r="W32" i="29" s="1"/>
  <c r="K29" i="29"/>
  <c r="L23" i="29"/>
  <c r="AC25" i="29"/>
  <c r="AB31" i="29"/>
  <c r="AB40" i="29"/>
  <c r="AA22" i="29"/>
  <c r="L26" i="29"/>
  <c r="L32" i="29" s="1"/>
  <c r="L28" i="29"/>
  <c r="M22" i="29"/>
  <c r="T37" i="29"/>
  <c r="R37" i="29"/>
  <c r="V37" i="29"/>
  <c r="W37" i="29"/>
  <c r="AE29" i="29"/>
  <c r="AF23" i="29"/>
  <c r="AE38" i="29"/>
  <c r="K26" i="29"/>
  <c r="K32" i="29" s="1"/>
  <c r="AA28" i="29" l="1"/>
  <c r="AB22" i="29"/>
  <c r="Q10" i="29"/>
  <c r="AA37" i="29"/>
  <c r="AD25" i="29"/>
  <c r="AC40" i="29"/>
  <c r="AC31" i="29"/>
  <c r="V42" i="29"/>
  <c r="V48" i="29" s="1"/>
  <c r="V49" i="29" s="1"/>
  <c r="R42" i="29"/>
  <c r="R48" i="29" s="1"/>
  <c r="R49" i="29" s="1"/>
  <c r="R41" i="29"/>
  <c r="W42" i="29"/>
  <c r="W48" i="29" s="1"/>
  <c r="W49" i="29" s="1"/>
  <c r="AF29" i="29"/>
  <c r="AG23" i="29"/>
  <c r="AF38" i="29"/>
  <c r="L29" i="29"/>
  <c r="M23" i="29"/>
  <c r="X38" i="29"/>
  <c r="X43" i="29" s="1"/>
  <c r="X54" i="29" s="1"/>
  <c r="X55" i="29" s="1"/>
  <c r="R38" i="29"/>
  <c r="R43" i="29" s="1"/>
  <c r="R54" i="29" s="1"/>
  <c r="R55" i="29" s="1"/>
  <c r="T38" i="29"/>
  <c r="T43" i="29" s="1"/>
  <c r="T54" i="29" s="1"/>
  <c r="T55" i="29" s="1"/>
  <c r="T42" i="29"/>
  <c r="T48" i="29" s="1"/>
  <c r="T49" i="29" s="1"/>
  <c r="T41" i="29"/>
  <c r="M26" i="29"/>
  <c r="M28" i="29"/>
  <c r="Y37" i="29"/>
  <c r="N28" i="29"/>
  <c r="N37" i="29"/>
  <c r="O37" i="29"/>
  <c r="U37" i="29"/>
  <c r="P37" i="29"/>
  <c r="S37" i="29"/>
  <c r="Q37" i="29"/>
  <c r="X37" i="29"/>
  <c r="Y24" i="29"/>
  <c r="X30" i="29"/>
  <c r="X39" i="29"/>
  <c r="X26" i="29"/>
  <c r="X32" i="29" s="1"/>
  <c r="AG29" i="29" l="1"/>
  <c r="AH23" i="29"/>
  <c r="AG38" i="29"/>
  <c r="S42" i="29"/>
  <c r="S48" i="29" s="1"/>
  <c r="S49" i="29" s="1"/>
  <c r="N42" i="29"/>
  <c r="E10" i="29"/>
  <c r="E14" i="29" s="1"/>
  <c r="U42" i="29"/>
  <c r="U48" i="29" s="1"/>
  <c r="U49" i="29" s="1"/>
  <c r="Q42" i="29"/>
  <c r="Q48" i="29" s="1"/>
  <c r="Q49" i="29" s="1"/>
  <c r="O42" i="29"/>
  <c r="O48" i="29" s="1"/>
  <c r="O49" i="29" s="1"/>
  <c r="X42" i="29"/>
  <c r="X48" i="29" s="1"/>
  <c r="X49" i="29" s="1"/>
  <c r="X41" i="29"/>
  <c r="P42" i="29"/>
  <c r="P48" i="29" s="1"/>
  <c r="P49" i="29" s="1"/>
  <c r="Y42" i="29"/>
  <c r="Y48" i="29" s="1"/>
  <c r="Y49" i="29" s="1"/>
  <c r="M32" i="29"/>
  <c r="N32" i="29"/>
  <c r="AE25" i="29"/>
  <c r="AD31" i="29"/>
  <c r="AD40" i="29"/>
  <c r="M29" i="29"/>
  <c r="N29" i="29"/>
  <c r="Y38" i="29"/>
  <c r="Y43" i="29" s="1"/>
  <c r="Y54" i="29" s="1"/>
  <c r="Y55" i="29" s="1"/>
  <c r="N38" i="29"/>
  <c r="S38" i="29"/>
  <c r="S43" i="29" s="1"/>
  <c r="S54" i="29" s="1"/>
  <c r="S55" i="29" s="1"/>
  <c r="V38" i="29"/>
  <c r="U38" i="29"/>
  <c r="U43" i="29" s="1"/>
  <c r="U54" i="29" s="1"/>
  <c r="U55" i="29" s="1"/>
  <c r="P38" i="29"/>
  <c r="P43" i="29" s="1"/>
  <c r="P54" i="29" s="1"/>
  <c r="P55" i="29" s="1"/>
  <c r="W38" i="29"/>
  <c r="Q38" i="29"/>
  <c r="Q43" i="29" s="1"/>
  <c r="Q54" i="29" s="1"/>
  <c r="Q55" i="29" s="1"/>
  <c r="O38" i="29"/>
  <c r="O43" i="29" s="1"/>
  <c r="O54" i="29" s="1"/>
  <c r="O55" i="29" s="1"/>
  <c r="AB28" i="29"/>
  <c r="AC22" i="29"/>
  <c r="AB37" i="29"/>
  <c r="Z24" i="29"/>
  <c r="Y30" i="29"/>
  <c r="Y39" i="29"/>
  <c r="Y26" i="29"/>
  <c r="Y32" i="29" s="1"/>
  <c r="P41" i="29" l="1"/>
  <c r="W43" i="29"/>
  <c r="W54" i="29" s="1"/>
  <c r="W55" i="29" s="1"/>
  <c r="W41" i="29"/>
  <c r="N43" i="29"/>
  <c r="F11" i="29"/>
  <c r="F14" i="29" s="1"/>
  <c r="Q41" i="29"/>
  <c r="V43" i="29"/>
  <c r="V54" i="29" s="1"/>
  <c r="V55" i="29" s="1"/>
  <c r="V41" i="29"/>
  <c r="O41" i="29"/>
  <c r="U41" i="29"/>
  <c r="AA18" i="29"/>
  <c r="AB18" i="29" s="1"/>
  <c r="AC18" i="29" s="1"/>
  <c r="AD18" i="29" s="1"/>
  <c r="AE18" i="29" s="1"/>
  <c r="AF18" i="29" s="1"/>
  <c r="AG18" i="29" s="1"/>
  <c r="AH18" i="29" s="1"/>
  <c r="AI18" i="29" s="1"/>
  <c r="AJ18" i="29" s="1"/>
  <c r="AK18" i="29" s="1"/>
  <c r="Z30" i="29"/>
  <c r="Z39" i="29"/>
  <c r="Z26" i="29"/>
  <c r="N41" i="29"/>
  <c r="G14" i="29" s="1"/>
  <c r="S41" i="29"/>
  <c r="AE31" i="29"/>
  <c r="AF25" i="29"/>
  <c r="AE40" i="29"/>
  <c r="AC28" i="29"/>
  <c r="AD22" i="29"/>
  <c r="AC37" i="29"/>
  <c r="AH29" i="29"/>
  <c r="AI23" i="29"/>
  <c r="AH38" i="29"/>
  <c r="Y41" i="29"/>
  <c r="Z32" i="29" l="1"/>
  <c r="Z27" i="29"/>
  <c r="AI29" i="29"/>
  <c r="AJ23" i="29"/>
  <c r="AI38" i="29"/>
  <c r="Z43" i="29"/>
  <c r="Z54" i="29" s="1"/>
  <c r="Z55" i="29" s="1"/>
  <c r="Z42" i="29"/>
  <c r="Z48" i="29" s="1"/>
  <c r="Z49" i="29" s="1"/>
  <c r="Z41" i="29"/>
  <c r="AA24" i="29"/>
  <c r="AE22" i="29"/>
  <c r="AD28" i="29"/>
  <c r="AD37" i="29"/>
  <c r="AF31" i="29"/>
  <c r="AG25" i="29"/>
  <c r="AF40" i="29"/>
  <c r="AH25" i="29" l="1"/>
  <c r="AG31" i="29"/>
  <c r="AG40" i="29"/>
  <c r="AF22" i="29"/>
  <c r="AE28" i="29"/>
  <c r="AE37" i="29"/>
  <c r="AA30" i="29"/>
  <c r="AB24" i="29"/>
  <c r="Q14" i="29"/>
  <c r="R14" i="29"/>
  <c r="AA39" i="29"/>
  <c r="AA26" i="29"/>
  <c r="AA32" i="29" s="1"/>
  <c r="AK23" i="29"/>
  <c r="AJ29" i="29"/>
  <c r="AJ38" i="29"/>
  <c r="AA43" i="29" l="1"/>
  <c r="AA42" i="29"/>
  <c r="AA48" i="29" s="1"/>
  <c r="AA49" i="29" s="1"/>
  <c r="S14" i="29"/>
  <c r="AK29" i="29"/>
  <c r="AL29" i="29"/>
  <c r="AK38" i="29"/>
  <c r="AL38" i="29"/>
  <c r="AB30" i="29"/>
  <c r="AC24" i="29"/>
  <c r="AB39" i="29"/>
  <c r="AB26" i="29"/>
  <c r="AB32" i="29" s="1"/>
  <c r="AA54" i="29"/>
  <c r="AA55" i="29" s="1"/>
  <c r="AA41" i="29"/>
  <c r="AG22" i="29"/>
  <c r="AF28" i="29"/>
  <c r="AF37" i="29"/>
  <c r="AI25" i="29"/>
  <c r="AH31" i="29"/>
  <c r="AH40" i="29"/>
  <c r="AB43" i="29" l="1"/>
  <c r="AB42" i="29"/>
  <c r="AJ25" i="29"/>
  <c r="AI31" i="29"/>
  <c r="AI40" i="29"/>
  <c r="AG28" i="29"/>
  <c r="AH22" i="29"/>
  <c r="AG37" i="29"/>
  <c r="AB54" i="29"/>
  <c r="AB55" i="29" s="1"/>
  <c r="AB48" i="29"/>
  <c r="AB49" i="29" s="1"/>
  <c r="AB41" i="29"/>
  <c r="AD24" i="29"/>
  <c r="AC30" i="29"/>
  <c r="AC39" i="29"/>
  <c r="AC26" i="29"/>
  <c r="AC32" i="29" s="1"/>
  <c r="AC43" i="29" l="1"/>
  <c r="AC42" i="29"/>
  <c r="AC54" i="29"/>
  <c r="AC55" i="29" s="1"/>
  <c r="AC48" i="29"/>
  <c r="AC49" i="29" s="1"/>
  <c r="AC41" i="29"/>
  <c r="AE24" i="29"/>
  <c r="AD30" i="29"/>
  <c r="AD39" i="29"/>
  <c r="AD26" i="29"/>
  <c r="AD32" i="29" s="1"/>
  <c r="AH28" i="29"/>
  <c r="AI22" i="29"/>
  <c r="AH37" i="29"/>
  <c r="AJ31" i="29"/>
  <c r="AK25" i="29"/>
  <c r="AJ40" i="29"/>
  <c r="AD43" i="29" l="1"/>
  <c r="AD42" i="29"/>
  <c r="AL31" i="29"/>
  <c r="AK31" i="29"/>
  <c r="AK40" i="29"/>
  <c r="AL40" i="29"/>
  <c r="AI28" i="29"/>
  <c r="AJ22" i="29"/>
  <c r="AI37" i="29"/>
  <c r="AD54" i="29"/>
  <c r="AD55" i="29" s="1"/>
  <c r="AD41" i="29"/>
  <c r="AD48" i="29"/>
  <c r="AD49" i="29" s="1"/>
  <c r="AF24" i="29"/>
  <c r="AE30" i="29"/>
  <c r="AE39" i="29"/>
  <c r="AE26" i="29"/>
  <c r="AE32" i="29" s="1"/>
  <c r="AE43" i="29" l="1"/>
  <c r="AE42" i="29"/>
  <c r="AE54" i="29"/>
  <c r="AE55" i="29" s="1"/>
  <c r="AE41" i="29"/>
  <c r="AE48" i="29"/>
  <c r="AE49" i="29" s="1"/>
  <c r="AF30" i="29"/>
  <c r="AG24" i="29"/>
  <c r="AF39" i="29"/>
  <c r="AF26" i="29"/>
  <c r="AF32" i="29" s="1"/>
  <c r="AJ28" i="29"/>
  <c r="AK22" i="29"/>
  <c r="AJ37" i="29"/>
  <c r="AF43" i="29" l="1"/>
  <c r="AF54" i="29" s="1"/>
  <c r="AF55" i="29" s="1"/>
  <c r="AF42" i="29"/>
  <c r="AK28" i="29"/>
  <c r="AL28" i="29"/>
  <c r="AK37" i="29"/>
  <c r="AL37" i="29"/>
  <c r="AF41" i="29"/>
  <c r="AF48" i="29"/>
  <c r="AF49" i="29" s="1"/>
  <c r="AH24" i="29"/>
  <c r="AG30" i="29"/>
  <c r="AG39" i="29"/>
  <c r="AG26" i="29"/>
  <c r="AG32" i="29" s="1"/>
  <c r="AG43" i="29" l="1"/>
  <c r="AG54" i="29" s="1"/>
  <c r="AG55" i="29" s="1"/>
  <c r="AG42" i="29"/>
  <c r="AG48" i="29" s="1"/>
  <c r="AG49" i="29" s="1"/>
  <c r="AG41" i="29"/>
  <c r="AI24" i="29"/>
  <c r="AH30" i="29"/>
  <c r="AH39" i="29"/>
  <c r="AH26" i="29"/>
  <c r="AH32" i="29" s="1"/>
  <c r="AH43" i="29" l="1"/>
  <c r="AH42" i="29"/>
  <c r="AH48" i="29" s="1"/>
  <c r="AH49" i="29" s="1"/>
  <c r="AH54" i="29"/>
  <c r="AH55" i="29" s="1"/>
  <c r="AH41" i="29"/>
  <c r="AI30" i="29"/>
  <c r="AJ24" i="29"/>
  <c r="AI39" i="29"/>
  <c r="AI26" i="29"/>
  <c r="AI32" i="29" s="1"/>
  <c r="AI43" i="29" l="1"/>
  <c r="AI42" i="29"/>
  <c r="AI54" i="29"/>
  <c r="AI55" i="29" s="1"/>
  <c r="AI41" i="29"/>
  <c r="AI48" i="29"/>
  <c r="AI49" i="29" s="1"/>
  <c r="AJ30" i="29"/>
  <c r="AK24" i="29"/>
  <c r="AJ39" i="29"/>
  <c r="AJ26" i="29"/>
  <c r="AJ32" i="29" s="1"/>
  <c r="AJ43" i="29" l="1"/>
  <c r="AJ42" i="29"/>
  <c r="AJ48" i="29" s="1"/>
  <c r="AJ49" i="29" s="1"/>
  <c r="AJ54" i="29"/>
  <c r="AJ55" i="29" s="1"/>
  <c r="AJ41" i="29"/>
  <c r="AK30" i="29"/>
  <c r="AL30" i="29"/>
  <c r="AK39" i="29"/>
  <c r="AK26" i="29"/>
  <c r="AL39" i="29"/>
  <c r="AL43" i="29" l="1"/>
  <c r="AL54" i="29" s="1"/>
  <c r="AL42" i="29"/>
  <c r="AK43" i="29"/>
  <c r="AK54" i="29" s="1"/>
  <c r="AK55" i="29" s="1"/>
  <c r="AK42" i="29"/>
  <c r="AK48" i="29" s="1"/>
  <c r="AK49" i="29" s="1"/>
  <c r="AL48" i="29"/>
  <c r="AL41" i="29"/>
  <c r="AK32" i="29"/>
  <c r="AL32" i="29"/>
  <c r="AK41" i="29"/>
  <c r="AL49" i="29" l="1"/>
  <c r="AL55" i="29"/>
  <c r="A18" i="25" l="1"/>
  <c r="A19" i="25" s="1"/>
  <c r="A20" i="25" s="1"/>
  <c r="A21" i="25" s="1"/>
  <c r="A22" i="25" s="1"/>
  <c r="A23" i="25" s="1"/>
  <c r="A24" i="25" s="1"/>
  <c r="A25" i="25" s="1"/>
  <c r="A26" i="25" l="1"/>
  <c r="F20" i="25"/>
  <c r="F20" i="24"/>
  <c r="A17" i="24" l="1"/>
  <c r="A18" i="24" s="1"/>
  <c r="A19" i="24" s="1"/>
  <c r="A20" i="24" s="1"/>
  <c r="A21" i="24" s="1"/>
  <c r="A22" i="24" s="1"/>
  <c r="A23" i="24" s="1"/>
  <c r="A24" i="24" s="1"/>
  <c r="A25" i="24" s="1"/>
  <c r="A26" i="24" s="1"/>
  <c r="A6" i="25" l="1"/>
  <c r="A4" i="22"/>
  <c r="D15" i="25" l="1"/>
  <c r="D14" i="25"/>
  <c r="F15" i="25" l="1"/>
  <c r="E15" i="25" s="1"/>
  <c r="E14" i="25" l="1"/>
  <c r="E15" i="22"/>
  <c r="E14" i="22"/>
  <c r="D16" i="25" l="1"/>
  <c r="D17" i="22"/>
  <c r="F16" i="25" l="1"/>
  <c r="D16" i="24"/>
  <c r="C17" i="22"/>
  <c r="E16" i="22"/>
  <c r="E17" i="22" s="1"/>
  <c r="D17" i="25"/>
  <c r="J3" i="31" s="1"/>
  <c r="E16" i="25" l="1"/>
  <c r="J13" i="31"/>
  <c r="J14" i="31"/>
  <c r="J6" i="31"/>
  <c r="J8" i="31"/>
  <c r="F16" i="24"/>
  <c r="F17" i="24" s="1"/>
  <c r="D17" i="24"/>
  <c r="I3" i="31" s="1"/>
  <c r="I8" i="31" s="1"/>
  <c r="I12" i="31" s="1"/>
  <c r="E16" i="24" l="1"/>
  <c r="E17" i="24" s="1"/>
  <c r="I13" i="31"/>
  <c r="I14" i="31"/>
  <c r="I6" i="31"/>
  <c r="I9" i="31" s="1"/>
  <c r="I5" i="31"/>
  <c r="J9" i="31"/>
  <c r="F23" i="24"/>
  <c r="F24" i="24"/>
  <c r="F22" i="24" l="1"/>
  <c r="F25" i="24" l="1"/>
  <c r="F27" i="24" s="1"/>
  <c r="F24" i="25" l="1"/>
  <c r="F22" i="25"/>
  <c r="F23" i="25"/>
  <c r="F28" i="24" l="1"/>
  <c r="F25" i="25"/>
  <c r="F27" i="25" s="1"/>
  <c r="F29" i="24" l="1"/>
  <c r="F28" i="25" l="1"/>
  <c r="F29" i="25" l="1"/>
  <c r="F17" i="25" l="1"/>
  <c r="E17" i="25"/>
  <c r="J5" i="31" l="1"/>
</calcChain>
</file>

<file path=xl/sharedStrings.xml><?xml version="1.0" encoding="utf-8"?>
<sst xmlns="http://schemas.openxmlformats.org/spreadsheetml/2006/main" count="396" uniqueCount="223">
  <si>
    <t>Description</t>
  </si>
  <si>
    <t>Depreciation Expense</t>
  </si>
  <si>
    <t>Electric</t>
  </si>
  <si>
    <t>Gas</t>
  </si>
  <si>
    <t>Common</t>
  </si>
  <si>
    <t>AMI Plant Assets</t>
  </si>
  <si>
    <t>Gross Plant</t>
  </si>
  <si>
    <t>Reserve</t>
  </si>
  <si>
    <t>Total PSE</t>
  </si>
  <si>
    <t>Total Gas</t>
  </si>
  <si>
    <t>Total Electric</t>
  </si>
  <si>
    <t>No.</t>
  </si>
  <si>
    <t xml:space="preserve">Line </t>
  </si>
  <si>
    <t>Four Factor Allocator</t>
  </si>
  <si>
    <t>PUGET SOUND ENERGY-ELECTRIC</t>
  </si>
  <si>
    <t>REMOVE AMI RATEBASE</t>
  </si>
  <si>
    <t>COMMMISSION BASIS REPORT</t>
  </si>
  <si>
    <t>per Tax Department:</t>
  </si>
  <si>
    <t>AMI Plant Assets Accumulated Deferred Taxes</t>
  </si>
  <si>
    <t>Beg Bal</t>
  </si>
  <si>
    <t>End Bal</t>
  </si>
  <si>
    <t>Electric Meters</t>
  </si>
  <si>
    <t>Gas Meters</t>
  </si>
  <si>
    <t>Common Comm Eq</t>
  </si>
  <si>
    <t>Common Software</t>
  </si>
  <si>
    <t>Total DR/(CR) Balance</t>
  </si>
  <si>
    <t>End Balance</t>
  </si>
  <si>
    <t>check</t>
  </si>
  <si>
    <t>Common Allocation</t>
  </si>
  <si>
    <t>AMA</t>
  </si>
  <si>
    <t>PUGET SOUND ENERGY-GAS</t>
  </si>
  <si>
    <t>COMMISSION BASIS REPORT</t>
  </si>
  <si>
    <t>LINE</t>
  </si>
  <si>
    <t>NO.</t>
  </si>
  <si>
    <t>DESCRIPTION</t>
  </si>
  <si>
    <t>ACTUAL</t>
  </si>
  <si>
    <t>RESTATED</t>
  </si>
  <si>
    <t>ADJUSTMENT</t>
  </si>
  <si>
    <t>PLANT BALANCE</t>
  </si>
  <si>
    <t xml:space="preserve">ACCUM DEPRECIATION </t>
  </si>
  <si>
    <t>DEFERRED INCOME TAX LIABILITY</t>
  </si>
  <si>
    <t>Adj 3.19G</t>
  </si>
  <si>
    <t>Adj 3.19E</t>
  </si>
  <si>
    <t>PUGET SOUND ENERGY- ELECTRIC</t>
  </si>
  <si>
    <t>UTILITY PLANT RATEBASE (AMA)</t>
  </si>
  <si>
    <t>NET  PLANT RATEBASE (AMA)</t>
  </si>
  <si>
    <t>12/31/2022 AMA</t>
  </si>
  <si>
    <t>AR OK 2/16/23</t>
  </si>
  <si>
    <t>JK OK 2/17/23</t>
  </si>
  <si>
    <t>2022 ADIT</t>
  </si>
  <si>
    <t>OTHER OPERATING REVENUES</t>
  </si>
  <si>
    <t>Over/underabsorption</t>
  </si>
  <si>
    <t>Debit</t>
  </si>
  <si>
    <t xml:space="preserve">  Pages:                      0</t>
  </si>
  <si>
    <t xml:space="preserve">  ZO12                      Orders: Actual 12 Month Ended</t>
  </si>
  <si>
    <t>REMOVE AMI RETURN DEFERRAL (ASSOCIATED PLANT REMOVED)</t>
  </si>
  <si>
    <t xml:space="preserve">TOTAL </t>
  </si>
  <si>
    <t>BAD DEBTS - CUSTOMER ACCTS EXPENSES</t>
  </si>
  <si>
    <t>ANNUAL FILING FEE - ADMIN &amp; GENERAL EXPENSE</t>
  </si>
  <si>
    <t>STATE UTILITY TAX - TAXES OTHER THAN F.I.T.</t>
  </si>
  <si>
    <t>INCREASE (DECREASE) OPERATING INCOME BEFORE FIT</t>
  </si>
  <si>
    <t>INCREASE (DECREASE) FIT</t>
  </si>
  <si>
    <t>INCREASE (DECREASE) NOI</t>
  </si>
  <si>
    <t>REMOVE ELECTRIC AMI REVENUE AND RATEBASE</t>
  </si>
  <si>
    <t>REMOVE GAS AMI REVENUE AND RATEBASE</t>
  </si>
  <si>
    <t>GAS</t>
  </si>
  <si>
    <t>&lt;==CBR==&gt;</t>
  </si>
  <si>
    <t>ELECTRIC</t>
  </si>
  <si>
    <t>DFIT</t>
  </si>
  <si>
    <t>2021 ADIT</t>
  </si>
  <si>
    <t>JK OK 3/6/22</t>
  </si>
  <si>
    <t>CBR Allocators</t>
  </si>
  <si>
    <t>DEC-23 AMA</t>
  </si>
  <si>
    <t>NOV-23 AMA</t>
  </si>
  <si>
    <t>OCT-23 AMA</t>
  </si>
  <si>
    <t>SEP-23 AMA</t>
  </si>
  <si>
    <t>AUG-23 AMA</t>
  </si>
  <si>
    <t>JUL-23 AMA</t>
  </si>
  <si>
    <t>JUN-23 AMA</t>
  </si>
  <si>
    <t>MAY-23 AMA</t>
  </si>
  <si>
    <t>APR-23 AMA</t>
  </si>
  <si>
    <t>MAR-23 AMA</t>
  </si>
  <si>
    <t>FEB-23 AMA</t>
  </si>
  <si>
    <t>JAN-23 AMA</t>
  </si>
  <si>
    <t>ties to CBR</t>
  </si>
  <si>
    <t>DEC-22 AMA</t>
  </si>
  <si>
    <t>NOV-22 AMA</t>
  </si>
  <si>
    <t>OCT-22 AMA</t>
  </si>
  <si>
    <t>SEP-22 AMA</t>
  </si>
  <si>
    <t>AUG-22 AMA</t>
  </si>
  <si>
    <t>JUL-22 AMA</t>
  </si>
  <si>
    <t>JUN-22 AMA</t>
  </si>
  <si>
    <t>MAY-22 AMA</t>
  </si>
  <si>
    <t>APR-22 AMA</t>
  </si>
  <si>
    <t>MAR-22 AMA</t>
  </si>
  <si>
    <t>FEB-22 AMA</t>
  </si>
  <si>
    <t>JAN-22 AMA</t>
  </si>
  <si>
    <t>DEC-21AMA</t>
  </si>
  <si>
    <t>DEC-23 Common Allocation</t>
  </si>
  <si>
    <t>NOV-23 Common Allocation</t>
  </si>
  <si>
    <t>OCT-23 Common Allocation</t>
  </si>
  <si>
    <t>SEP-23 Common Allocation</t>
  </si>
  <si>
    <t>AUG-23 Common Allocation</t>
  </si>
  <si>
    <t>JUL-23 Common Allocation</t>
  </si>
  <si>
    <t>JUN-23 Common Allocation</t>
  </si>
  <si>
    <t>MAY-23 Common Allocation</t>
  </si>
  <si>
    <t>APR-23 Common Allocation</t>
  </si>
  <si>
    <t>Mar-23 Common Allocation</t>
  </si>
  <si>
    <t>Feb-23 Common Allocation</t>
  </si>
  <si>
    <t>JAN-23 Common Allocation</t>
  </si>
  <si>
    <t>DEC-22 Common Allocation</t>
  </si>
  <si>
    <t>NOV-22 Common Allocation</t>
  </si>
  <si>
    <t>OCT-22 Common Allocation</t>
  </si>
  <si>
    <t>SEP-22 Common Allocation</t>
  </si>
  <si>
    <t>AUG-22 Common Allocation</t>
  </si>
  <si>
    <t>JUL-22 Common Allocation</t>
  </si>
  <si>
    <t>JUN-22 Common Allocation</t>
  </si>
  <si>
    <t>MAY-22 Common Allocation</t>
  </si>
  <si>
    <t>APR-22 Common Allocation</t>
  </si>
  <si>
    <t>Mar-22 Common Allocation</t>
  </si>
  <si>
    <t>Feb-22 Common Allocation</t>
  </si>
  <si>
    <t>JAN-22 Common Allocation</t>
  </si>
  <si>
    <t>DEC-21 Common Allocation</t>
  </si>
  <si>
    <t>DEC-23 AMA Before Common Allocation</t>
  </si>
  <si>
    <t>NOV-23 AMA Before Common Allocation</t>
  </si>
  <si>
    <t>OCT-23 AMA Before Common Allocation</t>
  </si>
  <si>
    <t>SEP-23 AMA Before Common Allocation</t>
  </si>
  <si>
    <t>AUG-23 AMA Before Common Allocation</t>
  </si>
  <si>
    <t>JUL-23 AMA Before Common Allocation</t>
  </si>
  <si>
    <t>JUN-23 AMA Before Common Allocation</t>
  </si>
  <si>
    <t>MAY-23 AMA Before Common Allocation</t>
  </si>
  <si>
    <t>APR-23 AMA Before Common Allocation</t>
  </si>
  <si>
    <t>Mar-23 AMA Before Common Allocation</t>
  </si>
  <si>
    <t>Feb-23 AMA Before Common Allocation</t>
  </si>
  <si>
    <t>JAN-23 AMA Before Common Allocation</t>
  </si>
  <si>
    <t>DEC-22 AMA Before Common Allocation</t>
  </si>
  <si>
    <t>NOV-22 AMA Before Common Allocation</t>
  </si>
  <si>
    <t>OCT-22 AMA Before Common Allocation</t>
  </si>
  <si>
    <t>SEP-22 AMA Before Common Allocation</t>
  </si>
  <si>
    <t>AUG-22 AMA Before Common Allocation</t>
  </si>
  <si>
    <t>JUL-22 AMA Before Common Allocation</t>
  </si>
  <si>
    <t>JUN-22 AMA Before Common Allocation</t>
  </si>
  <si>
    <t>MAY-22 AMA Before Common Allocation</t>
  </si>
  <si>
    <t>APR-22 AMA Before Common Allocation</t>
  </si>
  <si>
    <t>Mar-22 AMA Before Common Allocation</t>
  </si>
  <si>
    <t>Feb-22 AMA Before Common Allocation</t>
  </si>
  <si>
    <t>JAN-22 AMA Before Common Allocation</t>
  </si>
  <si>
    <t>DEC-21 AMA Before Common Allocation</t>
  </si>
  <si>
    <t xml:space="preserve">(whole $) </t>
  </si>
  <si>
    <t>2023 ADIT</t>
  </si>
  <si>
    <t>Common AMI Comm Eq</t>
  </si>
  <si>
    <t>Orders</t>
  </si>
  <si>
    <t>12 Months</t>
  </si>
  <si>
    <t>45600155  AMI Return Deferral - Electric</t>
  </si>
  <si>
    <t>49500071  AMI Return Deferral - Gas</t>
  </si>
  <si>
    <t>AR OK 3/13/24</t>
  </si>
  <si>
    <t>`</t>
  </si>
  <si>
    <t>Electric EOP</t>
  </si>
  <si>
    <t>Gas EOP</t>
  </si>
  <si>
    <t>SHORT AND LONG TERM DEBT</t>
  </si>
  <si>
    <t>AMI RB</t>
  </si>
  <si>
    <t>EQUITY</t>
  </si>
  <si>
    <t>TOTAL</t>
  </si>
  <si>
    <t>Allocation</t>
  </si>
  <si>
    <t>&lt;=check that equity portion is removed</t>
  </si>
  <si>
    <r>
      <t xml:space="preserve">portion of RB due to Equity </t>
    </r>
    <r>
      <rPr>
        <b/>
        <sz val="11"/>
        <color rgb="FFFF0000"/>
        <rFont val="Calibri"/>
        <family val="2"/>
      </rPr>
      <t>(TO REMOVE)</t>
    </r>
  </si>
  <si>
    <t>AFTER TAX SHORT TERM DEBT ( (LINE 1)* 79%)</t>
  </si>
  <si>
    <t>portion of RB due to Debt</t>
  </si>
  <si>
    <t>TOTAL AFTER TAX COST OF CAPITAL</t>
  </si>
  <si>
    <t>Sum</t>
  </si>
  <si>
    <t>proofs:</t>
  </si>
  <si>
    <t>return on Debt Portion of RB at full ROR = Debt component only</t>
  </si>
  <si>
    <t>return on AMI Total RB x Debt Rate</t>
  </si>
  <si>
    <t>return on AMI Total RB x Equity Rate</t>
  </si>
  <si>
    <t>YEAR</t>
  </si>
  <si>
    <t>DEC-24 AMA</t>
  </si>
  <si>
    <t>NOV-24 AMA</t>
  </si>
  <si>
    <t>OCT-24 AMA</t>
  </si>
  <si>
    <t>SEP-24 AMA</t>
  </si>
  <si>
    <t>AUG-24 AMA</t>
  </si>
  <si>
    <t>JUL-24 AMA</t>
  </si>
  <si>
    <t>JUN-24 AMA</t>
  </si>
  <si>
    <t>MAY-24 AMA</t>
  </si>
  <si>
    <t>APR-24 AMA</t>
  </si>
  <si>
    <t>MAR-24 AMA</t>
  </si>
  <si>
    <t>FEB-24 AMA</t>
  </si>
  <si>
    <t>JAN-24 AMA</t>
  </si>
  <si>
    <t>DEC-24 Common Allocation</t>
  </si>
  <si>
    <t>NOV-24 Common Allocation</t>
  </si>
  <si>
    <t>OCT-24 Common Allocation</t>
  </si>
  <si>
    <t>SEP-24 Common Allocation</t>
  </si>
  <si>
    <t>AUG-24 Common Allocation</t>
  </si>
  <si>
    <t>JUL-24 Common Allocation</t>
  </si>
  <si>
    <t>JUN-24 Common Allocation</t>
  </si>
  <si>
    <t>MAY-24 Common Allocation</t>
  </si>
  <si>
    <t>APR-24 Common Allocation</t>
  </si>
  <si>
    <t>Mar-24 Common Allocation</t>
  </si>
  <si>
    <t>Feb-24 Common Allocation</t>
  </si>
  <si>
    <t>JAN-24 Common Allocation</t>
  </si>
  <si>
    <t>DEC-24 AMA Before Common Allocation</t>
  </si>
  <si>
    <t>NOV-24 AMA Before Common Allocation</t>
  </si>
  <si>
    <t>OCT-24 AMA Before Common Allocation</t>
  </si>
  <si>
    <t>SEP-24 AMA Before Common Allocation</t>
  </si>
  <si>
    <t>AUG-24 AMA Before Common Allocation</t>
  </si>
  <si>
    <t>JUL-24 AMA Before Common Allocation</t>
  </si>
  <si>
    <t>JUN-24 AMA Before Common Allocation</t>
  </si>
  <si>
    <t>MAY-24 AMA Before Common Allocation</t>
  </si>
  <si>
    <t>APR-24 AMA Before Common Allocation</t>
  </si>
  <si>
    <t>Mar-24 AMA Before Common Allocation</t>
  </si>
  <si>
    <t>Feb-24 AMA Before Common Allocation</t>
  </si>
  <si>
    <t>JAN-24 AMA Before Common Allocation</t>
  </si>
  <si>
    <t>C3974 AMI Communication Equipment</t>
  </si>
  <si>
    <t>E3701 DST Meters (AMI)</t>
  </si>
  <si>
    <t>G3812 DST Modules (AMI)</t>
  </si>
  <si>
    <t>G3822 DST Module Installation (AMI)</t>
  </si>
  <si>
    <t>Software Order</t>
  </si>
  <si>
    <t>Hardware Order</t>
  </si>
  <si>
    <t>Total</t>
  </si>
  <si>
    <t>FOR THE TWELVE MONTHS ENDED DECEMBER 31, 2024</t>
  </si>
  <si>
    <t xml:space="preserve">  Date:                     02/12/2025</t>
  </si>
  <si>
    <t>2024 UE-220066-67</t>
  </si>
  <si>
    <t>AR OK 2/14/25</t>
  </si>
  <si>
    <t>2024 ADIT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</si>
</sst>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PAGE&quot;\ 0.00"/>
    <numFmt numFmtId="166" formatCode="0.000000"/>
    <numFmt numFmtId="167" formatCode="0.00000%"/>
    <numFmt numFmtId="168" formatCode="_(&quot;$&quot;* #,##0_);_(&quot;$&quot;* \(#,##0\);_(&quot;$&quot;* &quot;-&quot;??_);_(@_)"/>
    <numFmt numFmtId="169" formatCode="0.000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rgb="FF0000FF"/>
      <name val="Times New Roman"/>
      <family val="1"/>
    </font>
    <font>
      <sz val="11"/>
      <color rgb="FF00B050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color rgb="FFFF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7" fillId="0" borderId="0">
      <alignment horizontal="left" wrapText="1"/>
    </xf>
  </cellStyleXfs>
  <cellXfs count="219">
    <xf numFmtId="0" fontId="0" fillId="0" borderId="0" xfId="0"/>
    <xf numFmtId="0" fontId="0" fillId="0" borderId="0" xfId="0"/>
    <xf numFmtId="17" fontId="0" fillId="0" borderId="0" xfId="0" applyNumberFormat="1"/>
    <xf numFmtId="43" fontId="0" fillId="0" borderId="0" xfId="1" applyFont="1"/>
    <xf numFmtId="0" fontId="0" fillId="0" borderId="0" xfId="0" applyFill="1"/>
    <xf numFmtId="0" fontId="3" fillId="0" borderId="0" xfId="0" applyNumberFormat="1" applyFont="1" applyFill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NumberFormat="1" applyFont="1" applyFill="1" applyAlignment="1">
      <alignment horizontal="centerContinuous"/>
    </xf>
    <xf numFmtId="0" fontId="4" fillId="0" borderId="0" xfId="0" applyFont="1" applyAlignment="1">
      <alignment horizontal="centerContinuous"/>
    </xf>
    <xf numFmtId="15" fontId="6" fillId="0" borderId="0" xfId="0" applyNumberFormat="1" applyFont="1" applyFill="1" applyAlignment="1">
      <alignment horizontal="centerContinuous"/>
    </xf>
    <xf numFmtId="18" fontId="6" fillId="0" borderId="0" xfId="0" applyNumberFormat="1" applyFont="1" applyFill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2" fontId="7" fillId="0" borderId="0" xfId="0" applyNumberFormat="1" applyFont="1"/>
    <xf numFmtId="41" fontId="7" fillId="0" borderId="0" xfId="0" applyNumberFormat="1" applyFont="1"/>
    <xf numFmtId="0" fontId="8" fillId="0" borderId="0" xfId="0" applyFont="1" applyAlignment="1">
      <alignment vertical="center"/>
    </xf>
    <xf numFmtId="10" fontId="5" fillId="0" borderId="0" xfId="1" applyNumberFormat="1" applyFont="1"/>
    <xf numFmtId="43" fontId="5" fillId="0" borderId="0" xfId="1" applyFont="1"/>
    <xf numFmtId="14" fontId="9" fillId="0" borderId="0" xfId="0" applyNumberFormat="1" applyFont="1" applyAlignment="1">
      <alignment horizontal="center"/>
    </xf>
    <xf numFmtId="0" fontId="4" fillId="0" borderId="0" xfId="0" applyFont="1" applyBorder="1"/>
    <xf numFmtId="17" fontId="4" fillId="0" borderId="0" xfId="0" applyNumberFormat="1" applyFont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164" fontId="4" fillId="0" borderId="0" xfId="1" applyNumberFormat="1" applyFont="1"/>
    <xf numFmtId="164" fontId="4" fillId="0" borderId="0" xfId="0" applyNumberFormat="1" applyFont="1"/>
    <xf numFmtId="0" fontId="4" fillId="0" borderId="0" xfId="0" applyFont="1" applyAlignment="1">
      <alignment horizontal="right"/>
    </xf>
    <xf numFmtId="164" fontId="4" fillId="0" borderId="5" xfId="1" applyNumberFormat="1" applyFont="1" applyBorder="1"/>
    <xf numFmtId="164" fontId="4" fillId="0" borderId="5" xfId="0" applyNumberFormat="1" applyFont="1" applyBorder="1"/>
    <xf numFmtId="43" fontId="10" fillId="0" borderId="0" xfId="0" applyNumberFormat="1" applyFont="1"/>
    <xf numFmtId="0" fontId="10" fillId="0" borderId="0" xfId="0" applyFont="1"/>
    <xf numFmtId="17" fontId="4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/>
    <xf numFmtId="0" fontId="3" fillId="0" borderId="0" xfId="0" quotePrefix="1" applyNumberFormat="1" applyFont="1" applyFill="1" applyBorder="1" applyAlignment="1">
      <alignment horizontal="right"/>
    </xf>
    <xf numFmtId="165" fontId="3" fillId="0" borderId="6" xfId="0" applyNumberFormat="1" applyFont="1" applyFill="1" applyBorder="1" applyAlignment="1">
      <alignment horizontal="right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Border="1" applyAlignment="1">
      <alignment horizontal="centerContinuous"/>
    </xf>
    <xf numFmtId="0" fontId="11" fillId="0" borderId="0" xfId="0" applyNumberFormat="1" applyFont="1" applyFill="1" applyAlignment="1">
      <alignment horizontal="centerContinuous"/>
    </xf>
    <xf numFmtId="15" fontId="11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Alignment="1"/>
    <xf numFmtId="37" fontId="12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2" fillId="0" borderId="0" xfId="0" applyFont="1" applyFill="1" applyAlignment="1">
      <alignment horizontal="left" indent="2"/>
    </xf>
    <xf numFmtId="0" fontId="12" fillId="0" borderId="2" xfId="0" applyFont="1" applyFill="1" applyBorder="1" applyAlignment="1">
      <alignment horizontal="left" indent="2"/>
    </xf>
    <xf numFmtId="0" fontId="12" fillId="0" borderId="0" xfId="0" applyFont="1" applyFill="1" applyAlignment="1">
      <alignment horizontal="left"/>
    </xf>
    <xf numFmtId="41" fontId="7" fillId="0" borderId="2" xfId="0" applyNumberFormat="1" applyFont="1" applyFill="1" applyBorder="1"/>
    <xf numFmtId="42" fontId="0" fillId="0" borderId="0" xfId="0" applyNumberFormat="1"/>
    <xf numFmtId="0" fontId="14" fillId="0" borderId="0" xfId="0" applyFont="1"/>
    <xf numFmtId="0" fontId="15" fillId="0" borderId="0" xfId="0" applyFont="1"/>
    <xf numFmtId="43" fontId="16" fillId="0" borderId="0" xfId="1" applyFont="1"/>
    <xf numFmtId="164" fontId="0" fillId="0" borderId="0" xfId="0" applyNumberFormat="1"/>
    <xf numFmtId="164" fontId="0" fillId="0" borderId="0" xfId="1" applyNumberFormat="1" applyFont="1"/>
    <xf numFmtId="164" fontId="14" fillId="0" borderId="0" xfId="0" applyNumberFormat="1" applyFont="1"/>
    <xf numFmtId="42" fontId="3" fillId="2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42" fontId="3" fillId="3" borderId="0" xfId="0" applyNumberFormat="1" applyFont="1" applyFill="1" applyBorder="1" applyAlignment="1"/>
    <xf numFmtId="164" fontId="5" fillId="2" borderId="8" xfId="0" applyNumberFormat="1" applyFont="1" applyFill="1" applyBorder="1"/>
    <xf numFmtId="0" fontId="3" fillId="0" borderId="9" xfId="0" applyFont="1" applyFill="1" applyBorder="1" applyAlignment="1">
      <alignment horizontal="left"/>
    </xf>
    <xf numFmtId="0" fontId="14" fillId="0" borderId="0" xfId="0" applyFont="1" applyBorder="1"/>
    <xf numFmtId="164" fontId="4" fillId="0" borderId="2" xfId="0" applyNumberFormat="1" applyFont="1" applyFill="1" applyBorder="1"/>
    <xf numFmtId="164" fontId="5" fillId="0" borderId="10" xfId="0" applyNumberFormat="1" applyFont="1" applyFill="1" applyBorder="1"/>
    <xf numFmtId="0" fontId="3" fillId="0" borderId="11" xfId="0" applyFont="1" applyFill="1" applyBorder="1" applyAlignment="1">
      <alignment horizontal="left" indent="2"/>
    </xf>
    <xf numFmtId="164" fontId="4" fillId="0" borderId="0" xfId="0" applyNumberFormat="1" applyFont="1" applyFill="1"/>
    <xf numFmtId="0" fontId="3" fillId="0" borderId="12" xfId="0" applyFont="1" applyFill="1" applyBorder="1" applyAlignment="1">
      <alignment horizontal="left" indent="2"/>
    </xf>
    <xf numFmtId="0" fontId="9" fillId="0" borderId="0" xfId="0" applyFont="1" applyBorder="1"/>
    <xf numFmtId="17" fontId="5" fillId="0" borderId="10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164" fontId="14" fillId="0" borderId="0" xfId="0" applyNumberFormat="1" applyFont="1" applyFill="1"/>
    <xf numFmtId="0" fontId="1" fillId="0" borderId="10" xfId="0" applyFont="1" applyBorder="1"/>
    <xf numFmtId="0" fontId="1" fillId="0" borderId="12" xfId="0" applyFont="1" applyBorder="1"/>
    <xf numFmtId="164" fontId="5" fillId="2" borderId="13" xfId="0" applyNumberFormat="1" applyFont="1" applyFill="1" applyBorder="1"/>
    <xf numFmtId="0" fontId="3" fillId="0" borderId="12" xfId="0" applyFont="1" applyFill="1" applyBorder="1" applyAlignment="1">
      <alignment horizontal="left"/>
    </xf>
    <xf numFmtId="17" fontId="4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20" fillId="0" borderId="10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64" fontId="4" fillId="0" borderId="5" xfId="0" applyNumberFormat="1" applyFont="1" applyFill="1" applyBorder="1"/>
    <xf numFmtId="164" fontId="5" fillId="0" borderId="13" xfId="0" applyNumberFormat="1" applyFont="1" applyFill="1" applyBorder="1"/>
    <xf numFmtId="0" fontId="5" fillId="0" borderId="12" xfId="0" applyFont="1" applyBorder="1" applyAlignment="1">
      <alignment horizontal="right"/>
    </xf>
    <xf numFmtId="0" fontId="5" fillId="0" borderId="12" xfId="0" applyFont="1" applyBorder="1"/>
    <xf numFmtId="0" fontId="4" fillId="0" borderId="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4" borderId="12" xfId="0" applyFont="1" applyFill="1" applyBorder="1"/>
    <xf numFmtId="0" fontId="21" fillId="0" borderId="15" xfId="0" applyFont="1" applyBorder="1"/>
    <xf numFmtId="0" fontId="5" fillId="0" borderId="16" xfId="0" applyFont="1" applyBorder="1"/>
    <xf numFmtId="164" fontId="4" fillId="5" borderId="5" xfId="1" applyNumberFormat="1" applyFont="1" applyFill="1" applyBorder="1"/>
    <xf numFmtId="164" fontId="4" fillId="5" borderId="0" xfId="1" applyNumberFormat="1" applyFont="1" applyFill="1"/>
    <xf numFmtId="14" fontId="9" fillId="0" borderId="0" xfId="0" applyNumberFormat="1" applyFont="1" applyAlignment="1">
      <alignment horizontal="left"/>
    </xf>
    <xf numFmtId="0" fontId="22" fillId="0" borderId="0" xfId="0" applyFont="1"/>
    <xf numFmtId="0" fontId="1" fillId="0" borderId="17" xfId="0" applyFont="1" applyBorder="1"/>
    <xf numFmtId="10" fontId="5" fillId="0" borderId="17" xfId="0" applyNumberFormat="1" applyFont="1" applyBorder="1"/>
    <xf numFmtId="164" fontId="5" fillId="2" borderId="1" xfId="0" applyNumberFormat="1" applyFont="1" applyFill="1" applyBorder="1"/>
    <xf numFmtId="0" fontId="5" fillId="2" borderId="0" xfId="0" applyFont="1" applyFill="1" applyBorder="1"/>
    <xf numFmtId="0" fontId="4" fillId="2" borderId="1" xfId="0" applyFont="1" applyFill="1" applyBorder="1"/>
    <xf numFmtId="164" fontId="5" fillId="0" borderId="1" xfId="0" applyNumberFormat="1" applyFont="1" applyBorder="1"/>
    <xf numFmtId="0" fontId="4" fillId="0" borderId="1" xfId="0" applyFont="1" applyFill="1" applyBorder="1"/>
    <xf numFmtId="0" fontId="23" fillId="0" borderId="0" xfId="0" applyFont="1"/>
    <xf numFmtId="0" fontId="24" fillId="0" borderId="0" xfId="0" applyFont="1"/>
    <xf numFmtId="0" fontId="4" fillId="2" borderId="0" xfId="0" applyFont="1" applyFill="1" applyBorder="1"/>
    <xf numFmtId="0" fontId="4" fillId="0" borderId="0" xfId="0" applyFont="1" applyFill="1"/>
    <xf numFmtId="164" fontId="4" fillId="2" borderId="0" xfId="0" applyNumberFormat="1" applyFont="1" applyFill="1"/>
    <xf numFmtId="0" fontId="0" fillId="2" borderId="0" xfId="0" applyFill="1"/>
    <xf numFmtId="43" fontId="5" fillId="0" borderId="0" xfId="0" applyNumberFormat="1" applyFont="1" applyAlignment="1"/>
    <xf numFmtId="164" fontId="0" fillId="0" borderId="0" xfId="0" applyNumberFormat="1" applyFont="1" applyFill="1"/>
    <xf numFmtId="0" fontId="5" fillId="0" borderId="0" xfId="0" applyFont="1" applyFill="1" applyBorder="1"/>
    <xf numFmtId="164" fontId="1" fillId="2" borderId="0" xfId="0" applyNumberFormat="1" applyFont="1" applyFill="1"/>
    <xf numFmtId="164" fontId="25" fillId="2" borderId="0" xfId="0" applyNumberFormat="1" applyFont="1" applyFill="1"/>
    <xf numFmtId="164" fontId="25" fillId="0" borderId="0" xfId="0" applyNumberFormat="1" applyFont="1"/>
    <xf numFmtId="17" fontId="0" fillId="0" borderId="0" xfId="0" applyNumberFormat="1" applyFill="1"/>
    <xf numFmtId="164" fontId="26" fillId="0" borderId="0" xfId="1" applyNumberFormat="1" applyFont="1"/>
    <xf numFmtId="164" fontId="27" fillId="0" borderId="0" xfId="0" applyNumberFormat="1" applyFont="1" applyFill="1"/>
    <xf numFmtId="164" fontId="27" fillId="2" borderId="0" xfId="0" applyNumberFormat="1" applyFont="1" applyFill="1"/>
    <xf numFmtId="17" fontId="0" fillId="2" borderId="0" xfId="0" applyNumberFormat="1" applyFill="1"/>
    <xf numFmtId="164" fontId="27" fillId="0" borderId="0" xfId="0" applyNumberFormat="1" applyFont="1"/>
    <xf numFmtId="0" fontId="26" fillId="0" borderId="0" xfId="0" applyFont="1"/>
    <xf numFmtId="164" fontId="28" fillId="2" borderId="0" xfId="1" applyNumberFormat="1" applyFont="1" applyFill="1"/>
    <xf numFmtId="164" fontId="27" fillId="0" borderId="0" xfId="1" applyNumberFormat="1" applyFont="1"/>
    <xf numFmtId="10" fontId="5" fillId="0" borderId="0" xfId="0" applyNumberFormat="1" applyFont="1"/>
    <xf numFmtId="43" fontId="0" fillId="0" borderId="2" xfId="0" applyNumberFormat="1" applyFont="1" applyBorder="1" applyAlignment="1">
      <alignment horizontal="center"/>
    </xf>
    <xf numFmtId="14" fontId="29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3" fontId="5" fillId="0" borderId="0" xfId="0" applyNumberFormat="1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0" fontId="0" fillId="0" borderId="5" xfId="0" applyBorder="1" applyAlignment="1">
      <alignment horizontal="center"/>
    </xf>
    <xf numFmtId="164" fontId="0" fillId="0" borderId="0" xfId="1" applyNumberFormat="1" applyFont="1" applyFill="1"/>
    <xf numFmtId="164" fontId="0" fillId="0" borderId="1" xfId="1" applyNumberFormat="1" applyFont="1" applyFill="1" applyBorder="1"/>
    <xf numFmtId="164" fontId="10" fillId="0" borderId="0" xfId="0" applyNumberFormat="1" applyFont="1" applyFill="1"/>
    <xf numFmtId="44" fontId="4" fillId="0" borderId="0" xfId="0" applyNumberFormat="1" applyFont="1"/>
    <xf numFmtId="168" fontId="4" fillId="0" borderId="7" xfId="0" applyNumberFormat="1" applyFont="1" applyBorder="1"/>
    <xf numFmtId="168" fontId="4" fillId="0" borderId="0" xfId="0" applyNumberFormat="1" applyFont="1" applyBorder="1"/>
    <xf numFmtId="0" fontId="7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left"/>
    </xf>
    <xf numFmtId="42" fontId="7" fillId="0" borderId="0" xfId="0" applyNumberFormat="1" applyFont="1" applyFill="1" applyBorder="1" applyAlignment="1"/>
    <xf numFmtId="0" fontId="7" fillId="0" borderId="0" xfId="0" applyNumberFormat="1" applyFont="1" applyFill="1" applyAlignment="1"/>
    <xf numFmtId="37" fontId="7" fillId="0" borderId="0" xfId="0" applyNumberFormat="1" applyFont="1" applyFill="1" applyBorder="1" applyAlignment="1"/>
    <xf numFmtId="0" fontId="7" fillId="0" borderId="0" xfId="0" applyFont="1" applyFill="1" applyAlignment="1">
      <alignment horizontal="left" indent="2"/>
    </xf>
    <xf numFmtId="164" fontId="7" fillId="0" borderId="0" xfId="0" applyNumberFormat="1" applyFont="1" applyFill="1" applyBorder="1" applyAlignment="1"/>
    <xf numFmtId="0" fontId="7" fillId="0" borderId="2" xfId="0" applyFont="1" applyFill="1" applyBorder="1" applyAlignment="1">
      <alignment horizontal="left" indent="2"/>
    </xf>
    <xf numFmtId="164" fontId="7" fillId="0" borderId="2" xfId="0" applyNumberFormat="1" applyFont="1" applyFill="1" applyBorder="1" applyAlignment="1"/>
    <xf numFmtId="0" fontId="7" fillId="0" borderId="0" xfId="0" applyFont="1" applyFill="1" applyAlignment="1">
      <alignment horizontal="left"/>
    </xf>
    <xf numFmtId="166" fontId="7" fillId="0" borderId="0" xfId="4" applyFont="1" applyFill="1" applyBorder="1" applyAlignment="1">
      <alignment horizontal="left"/>
    </xf>
    <xf numFmtId="167" fontId="7" fillId="0" borderId="0" xfId="2" applyNumberFormat="1" applyFont="1" applyFill="1" applyBorder="1" applyAlignment="1">
      <alignment horizontal="center"/>
    </xf>
    <xf numFmtId="166" fontId="7" fillId="0" borderId="0" xfId="4" applyFont="1" applyFill="1" applyBorder="1">
      <alignment horizontal="left" wrapText="1"/>
    </xf>
    <xf numFmtId="166" fontId="7" fillId="0" borderId="0" xfId="4" applyFont="1" applyFill="1" applyBorder="1" applyAlignment="1"/>
    <xf numFmtId="9" fontId="7" fillId="0" borderId="0" xfId="2" applyFont="1" applyFill="1" applyBorder="1" applyAlignment="1"/>
    <xf numFmtId="168" fontId="6" fillId="0" borderId="1" xfId="3" applyNumberFormat="1" applyFont="1" applyFill="1" applyBorder="1"/>
    <xf numFmtId="168" fontId="4" fillId="0" borderId="0" xfId="0" applyNumberFormat="1" applyFont="1"/>
    <xf numFmtId="0" fontId="28" fillId="0" borderId="0" xfId="0" applyFont="1"/>
    <xf numFmtId="0" fontId="33" fillId="0" borderId="0" xfId="0" applyFont="1" applyAlignment="1">
      <alignment wrapText="1"/>
    </xf>
    <xf numFmtId="10" fontId="0" fillId="0" borderId="0" xfId="0" applyNumberFormat="1" applyAlignment="1">
      <alignment horizontal="center"/>
    </xf>
    <xf numFmtId="10" fontId="27" fillId="0" borderId="0" xfId="0" applyNumberFormat="1" applyFont="1"/>
    <xf numFmtId="164" fontId="0" fillId="6" borderId="0" xfId="1" applyNumberFormat="1" applyFont="1" applyFill="1"/>
    <xf numFmtId="0" fontId="0" fillId="0" borderId="0" xfId="0" applyAlignment="1">
      <alignment horizontal="center"/>
    </xf>
    <xf numFmtId="10" fontId="0" fillId="0" borderId="2" xfId="0" applyNumberFormat="1" applyBorder="1" applyAlignment="1">
      <alignment horizontal="center"/>
    </xf>
    <xf numFmtId="10" fontId="27" fillId="0" borderId="2" xfId="0" applyNumberFormat="1" applyFont="1" applyBorder="1"/>
    <xf numFmtId="164" fontId="0" fillId="0" borderId="2" xfId="1" applyNumberFormat="1" applyFont="1" applyBorder="1"/>
    <xf numFmtId="0" fontId="27" fillId="0" borderId="0" xfId="0" applyFont="1"/>
    <xf numFmtId="0" fontId="31" fillId="0" borderId="18" xfId="0" applyFont="1" applyFill="1" applyBorder="1" applyAlignment="1">
      <alignment horizontal="left"/>
    </xf>
    <xf numFmtId="0" fontId="32" fillId="0" borderId="7" xfId="0" applyFont="1" applyFill="1" applyBorder="1"/>
    <xf numFmtId="0" fontId="32" fillId="0" borderId="19" xfId="0" applyFont="1" applyFill="1" applyBorder="1"/>
    <xf numFmtId="0" fontId="32" fillId="0" borderId="20" xfId="0" applyNumberFormat="1" applyFont="1" applyFill="1" applyBorder="1" applyAlignment="1"/>
    <xf numFmtId="10" fontId="32" fillId="0" borderId="0" xfId="0" applyNumberFormat="1" applyFont="1" applyFill="1" applyBorder="1"/>
    <xf numFmtId="10" fontId="32" fillId="0" borderId="21" xfId="0" applyNumberFormat="1" applyFont="1" applyFill="1" applyBorder="1"/>
    <xf numFmtId="9" fontId="32" fillId="0" borderId="7" xfId="0" applyNumberFormat="1" applyFont="1" applyFill="1" applyBorder="1"/>
    <xf numFmtId="169" fontId="31" fillId="0" borderId="19" xfId="0" applyNumberFormat="1" applyFont="1" applyFill="1" applyBorder="1"/>
    <xf numFmtId="0" fontId="32" fillId="0" borderId="0" xfId="0" applyFont="1" applyFill="1" applyBorder="1"/>
    <xf numFmtId="0" fontId="32" fillId="0" borderId="21" xfId="0" applyFont="1" applyFill="1" applyBorder="1"/>
    <xf numFmtId="0" fontId="32" fillId="0" borderId="22" xfId="0" applyNumberFormat="1" applyFont="1" applyFill="1" applyBorder="1" applyAlignment="1"/>
    <xf numFmtId="9" fontId="32" fillId="0" borderId="5" xfId="0" applyNumberFormat="1" applyFont="1" applyFill="1" applyBorder="1"/>
    <xf numFmtId="0" fontId="32" fillId="0" borderId="5" xfId="0" applyFont="1" applyFill="1" applyBorder="1"/>
    <xf numFmtId="10" fontId="32" fillId="0" borderId="4" xfId="0" applyNumberFormat="1" applyFont="1" applyFill="1" applyBorder="1"/>
    <xf numFmtId="10" fontId="7" fillId="0" borderId="0" xfId="2" applyNumberFormat="1" applyFont="1" applyFill="1" applyBorder="1" applyAlignment="1"/>
    <xf numFmtId="164" fontId="7" fillId="0" borderId="0" xfId="1" applyNumberFormat="1" applyFont="1" applyFill="1" applyBorder="1" applyAlignment="1"/>
    <xf numFmtId="164" fontId="7" fillId="0" borderId="2" xfId="1" applyNumberFormat="1" applyFont="1" applyFill="1" applyBorder="1" applyAlignment="1"/>
    <xf numFmtId="168" fontId="7" fillId="0" borderId="0" xfId="0" applyNumberFormat="1" applyFont="1" applyFill="1" applyBorder="1" applyAlignment="1"/>
    <xf numFmtId="10" fontId="4" fillId="0" borderId="0" xfId="2" applyNumberFormat="1" applyFont="1"/>
    <xf numFmtId="43" fontId="1" fillId="0" borderId="0" xfId="0" applyNumberFormat="1" applyFont="1" applyFill="1" applyAlignment="1">
      <alignment horizontal="center"/>
    </xf>
    <xf numFmtId="164" fontId="4" fillId="0" borderId="1" xfId="0" applyNumberFormat="1" applyFont="1" applyBorder="1"/>
    <xf numFmtId="164" fontId="0" fillId="2" borderId="0" xfId="0" applyNumberFormat="1" applyFont="1" applyFill="1"/>
    <xf numFmtId="43" fontId="1" fillId="0" borderId="0" xfId="1" applyFont="1" applyBorder="1"/>
    <xf numFmtId="14" fontId="29" fillId="0" borderId="0" xfId="0" applyNumberFormat="1" applyFont="1" applyAlignment="1">
      <alignment horizontal="center"/>
    </xf>
    <xf numFmtId="0" fontId="0" fillId="0" borderId="0" xfId="0" applyBorder="1"/>
    <xf numFmtId="43" fontId="0" fillId="0" borderId="2" xfId="1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43" fontId="0" fillId="0" borderId="0" xfId="1" applyFont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/>
    <xf numFmtId="43" fontId="1" fillId="0" borderId="1" xfId="1" applyFont="1" applyBorder="1"/>
    <xf numFmtId="164" fontId="4" fillId="0" borderId="5" xfId="1" applyNumberFormat="1" applyFon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3" fontId="1" fillId="7" borderId="0" xfId="1" applyFont="1" applyFill="1" applyAlignment="1">
      <alignment horizontal="center"/>
    </xf>
    <xf numFmtId="164" fontId="14" fillId="7" borderId="17" xfId="0" applyNumberFormat="1" applyFont="1" applyFill="1" applyBorder="1"/>
    <xf numFmtId="43" fontId="14" fillId="7" borderId="17" xfId="0" applyNumberFormat="1" applyFont="1" applyFill="1" applyBorder="1"/>
  </cellXfs>
  <cellStyles count="5">
    <cellStyle name="Comma" xfId="1" builtinId="3"/>
    <cellStyle name="Currency" xfId="3" builtinId="4"/>
    <cellStyle name="Normal" xfId="0" builtinId="0"/>
    <cellStyle name="Percent" xfId="2" builtinId="5"/>
    <cellStyle name="Style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447675</xdr:colOff>
      <xdr:row>0</xdr:row>
      <xdr:rowOff>0</xdr:rowOff>
    </xdr:from>
    <xdr:ext cx="7629525" cy="2047401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92950" y="0"/>
          <a:ext cx="7629525" cy="204740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Compliance%20Filing%20for%20New%20Rates/220066-67-PSE-WP-REVREC-COS-22GRC-Compliance%20Revised-1-9-2023%20(C)/NEW-PSE-WP-SEF-4E-ELECTRIC-REV-REQ-MODEL-22GRC-01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arbanes%20Oxley%20Section%20%20404%20Compliance/Key%20Controls/KC604%20-%20Monitor%20Earnings%20Sharing/2023/1Q2023/PCA_02.FEB_202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4CB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4CB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Compare"/>
      <sheetName val="Subject to Refund"/>
      <sheetName val="Summary"/>
      <sheetName val="W CCA"/>
      <sheetName val="Diff"/>
      <sheetName val="Detailed Summary"/>
      <sheetName val="Common Adj"/>
      <sheetName val="Electric Adj"/>
      <sheetName val="Settlement O&amp;M Changes"/>
      <sheetName val="Rev Exp change"/>
      <sheetName val="DEC13"/>
      <sheetName val="BDJ Exh Summary"/>
      <sheetName val="SEF-13 p 1 Elect wp"/>
      <sheetName val="SEF-13 p 2 Elect wp"/>
      <sheetName val="Adj List"/>
      <sheetName val="Final Rate Years"/>
      <sheetName val="SEF-21 Original E"/>
      <sheetName val="Named Ranges E"/>
      <sheetName val="Proofs=&gt;"/>
      <sheetName val="TBPI, ETR, Rev"/>
      <sheetName val="557 &amp; 555"/>
      <sheetName val="Prod O&amp;M"/>
      <sheetName val="Schedule 141A 2023"/>
      <sheetName val="Schedule 141A 2024"/>
      <sheetName val="GRC24-Variable Cost_TY (2)"/>
      <sheetName val="Detailed Summary TEMP"/>
    </sheetNames>
    <sheetDataSet>
      <sheetData sheetId="0">
        <row r="51">
          <cell r="K51">
            <v>233154106.50527719</v>
          </cell>
        </row>
      </sheetData>
      <sheetData sheetId="1"/>
      <sheetData sheetId="2">
        <row r="1">
          <cell r="I1" t="str">
            <v>EXH. SEF-3 page 2 of 3</v>
          </cell>
        </row>
      </sheetData>
      <sheetData sheetId="3"/>
      <sheetData sheetId="4">
        <row r="25">
          <cell r="D25">
            <v>91709758.776474044</v>
          </cell>
        </row>
      </sheetData>
      <sheetData sheetId="5">
        <row r="17">
          <cell r="K17">
            <v>482089567.40600002</v>
          </cell>
        </row>
      </sheetData>
      <sheetData sheetId="6"/>
      <sheetData sheetId="7"/>
      <sheetData sheetId="8">
        <row r="13">
          <cell r="C13">
            <v>2245635654.9000001</v>
          </cell>
        </row>
      </sheetData>
      <sheetData sheetId="9">
        <row r="16">
          <cell r="GV16">
            <v>17521.863852870072</v>
          </cell>
        </row>
      </sheetData>
      <sheetData sheetId="10">
        <row r="17">
          <cell r="BH17">
            <v>9255051.3129295558</v>
          </cell>
        </row>
      </sheetData>
      <sheetData sheetId="11">
        <row r="4">
          <cell r="F4">
            <v>-745282.25</v>
          </cell>
        </row>
      </sheetData>
      <sheetData sheetId="12">
        <row r="83">
          <cell r="K83">
            <v>12613361.338046722</v>
          </cell>
        </row>
      </sheetData>
      <sheetData sheetId="13">
        <row r="31">
          <cell r="C31">
            <v>-29004336.642303798</v>
          </cell>
        </row>
      </sheetData>
      <sheetData sheetId="14">
        <row r="34">
          <cell r="D34">
            <v>23244235.297462463</v>
          </cell>
        </row>
      </sheetData>
      <sheetData sheetId="15">
        <row r="2">
          <cell r="Q2" t="str">
            <v>GAS NOI</v>
          </cell>
        </row>
      </sheetData>
      <sheetData sheetId="16">
        <row r="2">
          <cell r="J2" t="str">
            <v>NATURAL GAS</v>
          </cell>
        </row>
      </sheetData>
      <sheetData sheetId="17">
        <row r="6">
          <cell r="A6" t="str">
            <v>REVENUES AND EXPENSES</v>
          </cell>
        </row>
      </sheetData>
      <sheetData sheetId="18">
        <row r="15">
          <cell r="D15">
            <v>209619221.11165607</v>
          </cell>
        </row>
      </sheetData>
      <sheetData sheetId="19"/>
      <sheetData sheetId="20">
        <row r="2">
          <cell r="B2" t="str">
            <v>PUGET SOUND ENERGY - ELECTRIC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 chklst"/>
      <sheetName val="Summary- Cumulative"/>
      <sheetName val="Summary- Reporting"/>
      <sheetName val="Summary- Detailed"/>
      <sheetName val="Schedule_B"/>
      <sheetName val="Actuals"/>
      <sheetName val="Lists"/>
      <sheetName val="Schedule_C"/>
      <sheetName val="Schedule_C1"/>
      <sheetName val="GRC GD rplcmt pc (C)"/>
      <sheetName val="Sheet1"/>
      <sheetName val="Schedule_C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1</v>
          </cell>
          <cell r="C1">
            <v>2020</v>
          </cell>
        </row>
        <row r="2">
          <cell r="A2">
            <v>2</v>
          </cell>
          <cell r="C2">
            <v>2021</v>
          </cell>
        </row>
        <row r="3">
          <cell r="A3">
            <v>3</v>
          </cell>
          <cell r="C3">
            <v>2022</v>
          </cell>
        </row>
        <row r="4">
          <cell r="A4">
            <v>4</v>
          </cell>
          <cell r="C4">
            <v>2023</v>
          </cell>
        </row>
        <row r="5">
          <cell r="A5">
            <v>5</v>
          </cell>
          <cell r="C5">
            <v>2024</v>
          </cell>
        </row>
        <row r="6">
          <cell r="A6">
            <v>6</v>
          </cell>
          <cell r="C6">
            <v>2025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Summaries"/>
      <sheetName val="1.02 COC"/>
      <sheetName val="Electric Earnings Sharing"/>
      <sheetName val="Inputs"/>
      <sheetName val="OOR"/>
      <sheetName val="OOE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>
            <v>6.0270000000000002E-3</v>
          </cell>
        </row>
        <row r="7">
          <cell r="B7">
            <v>5.0000000000000001E-3</v>
          </cell>
        </row>
        <row r="8">
          <cell r="B8">
            <v>3.8501000000000001E-2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2 COC"/>
      <sheetName val="1.01 ROR ROE"/>
      <sheetName val="model"/>
      <sheetName val="Earnings Sharing-CBR to Adj CBR"/>
      <sheetName val="Inputs"/>
      <sheetName val="OOE"/>
      <sheetName val="OOR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>
            <v>2.9520000000000002E-3</v>
          </cell>
        </row>
        <row r="7">
          <cell r="B7">
            <v>5.0000000000000001E-3</v>
          </cell>
        </row>
        <row r="8">
          <cell r="B8">
            <v>3.8406000000000003E-2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Graphs"/>
      <sheetName val="E &amp; G RB"/>
      <sheetName val="2024 Dec BS"/>
      <sheetName val="2024 Dec IS "/>
      <sheetName val="SAP DL Downld"/>
      <sheetName val="Meter Count"/>
      <sheetName val="Electric"/>
      <sheetName val="Gas"/>
      <sheetName val="Combined-2024"/>
      <sheetName val="DLReconBBS"/>
      <sheetName val="Elect. Customer Counts Pg 10a "/>
      <sheetName val="Gas Customer Counts Pg 10b"/>
    </sheetNames>
    <sheetDataSet>
      <sheetData sheetId="0">
        <row r="35">
          <cell r="E35">
            <v>0.66269999999999996</v>
          </cell>
          <cell r="F35">
            <v>0.33729999999999999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F32" sqref="F32"/>
    </sheetView>
  </sheetViews>
  <sheetFormatPr defaultColWidth="9.140625" defaultRowHeight="15" x14ac:dyDescent="0.25"/>
  <cols>
    <col min="1" max="1" width="5.140625" style="6" bestFit="1" customWidth="1"/>
    <col min="2" max="2" width="61.7109375" style="6" bestFit="1" customWidth="1"/>
    <col min="3" max="3" width="9.42578125" style="6" bestFit="1" customWidth="1"/>
    <col min="4" max="4" width="13.28515625" style="6" customWidth="1"/>
    <col min="5" max="6" width="17.42578125" style="6" bestFit="1" customWidth="1"/>
    <col min="7" max="7" width="9.140625" style="6"/>
    <col min="8" max="8" width="28.5703125" style="6" customWidth="1"/>
    <col min="9" max="9" width="15.7109375" style="6" bestFit="1" customWidth="1"/>
    <col min="10" max="16384" width="9.140625" style="6"/>
  </cols>
  <sheetData>
    <row r="1" spans="1:9" ht="14.45" thickBot="1" x14ac:dyDescent="0.3"/>
    <row r="2" spans="1:9" ht="14.45" thickBot="1" x14ac:dyDescent="0.3">
      <c r="A2" s="43"/>
      <c r="B2" s="43"/>
      <c r="C2" s="43"/>
      <c r="D2" s="43"/>
      <c r="E2" s="43"/>
      <c r="F2" s="44" t="s">
        <v>42</v>
      </c>
    </row>
    <row r="3" spans="1:9" ht="13.9" x14ac:dyDescent="0.25">
      <c r="A3" s="45"/>
      <c r="B3" s="45"/>
      <c r="C3" s="45"/>
      <c r="D3" s="45"/>
      <c r="E3" s="45"/>
      <c r="F3" s="45"/>
    </row>
    <row r="4" spans="1:9" ht="13.9" x14ac:dyDescent="0.25">
      <c r="A4" s="46" t="s">
        <v>43</v>
      </c>
      <c r="B4" s="47"/>
      <c r="C4" s="47"/>
      <c r="D4" s="47"/>
      <c r="E4" s="47"/>
      <c r="F4" s="47"/>
    </row>
    <row r="5" spans="1:9" ht="13.9" x14ac:dyDescent="0.25">
      <c r="A5" s="48" t="s">
        <v>63</v>
      </c>
      <c r="B5" s="49"/>
      <c r="C5" s="49"/>
      <c r="D5" s="49"/>
      <c r="E5" s="49"/>
      <c r="F5" s="49"/>
    </row>
    <row r="6" spans="1:9" ht="13.9" x14ac:dyDescent="0.25">
      <c r="A6" s="5" t="s">
        <v>218</v>
      </c>
      <c r="B6" s="50"/>
      <c r="C6" s="50"/>
      <c r="D6" s="50"/>
      <c r="E6" s="50"/>
      <c r="F6" s="50"/>
    </row>
    <row r="7" spans="1:9" ht="13.9" x14ac:dyDescent="0.25">
      <c r="A7" s="46" t="s">
        <v>31</v>
      </c>
      <c r="B7" s="50"/>
      <c r="C7" s="50"/>
      <c r="D7" s="50"/>
      <c r="E7" s="50"/>
      <c r="F7" s="50"/>
    </row>
    <row r="8" spans="1:9" ht="13.9" x14ac:dyDescent="0.25">
      <c r="A8" s="51"/>
      <c r="B8" s="51"/>
      <c r="C8" s="51"/>
      <c r="D8" s="51"/>
      <c r="E8" s="51"/>
      <c r="F8" s="51"/>
    </row>
    <row r="9" spans="1:9" ht="13.9" x14ac:dyDescent="0.25">
      <c r="A9" s="52" t="s">
        <v>32</v>
      </c>
      <c r="B9" s="45"/>
      <c r="C9" s="45"/>
      <c r="D9" s="52"/>
      <c r="E9" s="52"/>
      <c r="F9" s="52"/>
    </row>
    <row r="10" spans="1:9" ht="13.9" x14ac:dyDescent="0.25">
      <c r="A10" s="53" t="s">
        <v>33</v>
      </c>
      <c r="B10" s="54" t="s">
        <v>34</v>
      </c>
      <c r="C10" s="54"/>
      <c r="D10" s="55" t="s">
        <v>35</v>
      </c>
      <c r="E10" s="55" t="s">
        <v>36</v>
      </c>
      <c r="F10" s="55" t="s">
        <v>37</v>
      </c>
    </row>
    <row r="11" spans="1:9" ht="13.9" x14ac:dyDescent="0.25">
      <c r="A11" s="152"/>
      <c r="B11" s="153"/>
      <c r="C11" s="153"/>
      <c r="D11" s="153"/>
      <c r="E11" s="153"/>
      <c r="F11" s="153"/>
    </row>
    <row r="12" spans="1:9" ht="13.9" x14ac:dyDescent="0.25">
      <c r="A12" s="149">
        <v>1</v>
      </c>
      <c r="B12" s="150"/>
      <c r="C12" s="150"/>
      <c r="D12" s="151"/>
      <c r="E12" s="151"/>
      <c r="F12" s="151"/>
    </row>
    <row r="13" spans="1:9" ht="13.9" x14ac:dyDescent="0.25">
      <c r="A13" s="149">
        <v>2</v>
      </c>
      <c r="B13" s="150" t="s">
        <v>44</v>
      </c>
      <c r="C13" s="150"/>
      <c r="D13" s="152"/>
      <c r="E13" s="153"/>
      <c r="F13" s="151"/>
    </row>
    <row r="14" spans="1:9" ht="14.45" x14ac:dyDescent="0.3">
      <c r="A14" s="149">
        <v>3</v>
      </c>
      <c r="B14" s="154" t="s">
        <v>38</v>
      </c>
      <c r="C14" s="154"/>
      <c r="D14" s="151">
        <f>+AMI!C166</f>
        <v>286823960.15006435</v>
      </c>
      <c r="E14" s="191">
        <f>+D14+F14</f>
        <v>102150991.39422682</v>
      </c>
      <c r="F14" s="193">
        <f>-'AMI Debt Return proof'!$H$6*D14</f>
        <v>-184672968.75583753</v>
      </c>
      <c r="H14"/>
      <c r="I14"/>
    </row>
    <row r="15" spans="1:9" ht="14.45" x14ac:dyDescent="0.3">
      <c r="A15" s="149">
        <v>4</v>
      </c>
      <c r="B15" s="154" t="s">
        <v>39</v>
      </c>
      <c r="C15" s="154"/>
      <c r="D15" s="155">
        <f>'2024 AMI in  Ratebase'!C15</f>
        <v>-56758361.582514636</v>
      </c>
      <c r="E15" s="191">
        <f t="shared" ref="E15:E16" si="0">+D15+F15</f>
        <v>-20214220.954666525</v>
      </c>
      <c r="F15" s="155">
        <f>-'AMI Debt Return proof'!$H$6*D15</f>
        <v>36544140.627848111</v>
      </c>
      <c r="H15"/>
      <c r="I15"/>
    </row>
    <row r="16" spans="1:9" ht="14.45" x14ac:dyDescent="0.3">
      <c r="A16" s="149">
        <v>5</v>
      </c>
      <c r="B16" s="156" t="s">
        <v>40</v>
      </c>
      <c r="C16" s="156"/>
      <c r="D16" s="157">
        <f>'2024 AMI in  Ratebase'!C16</f>
        <v>-37373943.020837016</v>
      </c>
      <c r="E16" s="192">
        <f t="shared" si="0"/>
        <v>-13310552.332839996</v>
      </c>
      <c r="F16" s="157">
        <f>-'AMI Debt Return proof'!$H$6*D16</f>
        <v>24063390.687997021</v>
      </c>
      <c r="H16"/>
      <c r="I16"/>
    </row>
    <row r="17" spans="1:9" ht="14.45" x14ac:dyDescent="0.3">
      <c r="A17" s="149">
        <f>+A16+1</f>
        <v>6</v>
      </c>
      <c r="B17" s="158" t="s">
        <v>45</v>
      </c>
      <c r="C17" s="158"/>
      <c r="D17" s="151">
        <f>SUM(D14:D16)</f>
        <v>192691655.5467127</v>
      </c>
      <c r="E17" s="151">
        <f t="shared" ref="E17:F17" si="1">SUM(E14:E16)</f>
        <v>68626218.106720299</v>
      </c>
      <c r="F17" s="151">
        <f t="shared" si="1"/>
        <v>-124065437.4399924</v>
      </c>
      <c r="H17"/>
      <c r="I17"/>
    </row>
    <row r="18" spans="1:9" ht="14.45" x14ac:dyDescent="0.3">
      <c r="A18" s="149">
        <f t="shared" ref="A18:A29" si="2">+A17+1</f>
        <v>7</v>
      </c>
      <c r="E18" s="190"/>
      <c r="H18"/>
      <c r="I18"/>
    </row>
    <row r="19" spans="1:9" ht="14.45" x14ac:dyDescent="0.3">
      <c r="A19" s="149">
        <f t="shared" si="2"/>
        <v>8</v>
      </c>
      <c r="B19" s="150" t="s">
        <v>50</v>
      </c>
      <c r="C19" s="150"/>
      <c r="H19"/>
      <c r="I19"/>
    </row>
    <row r="20" spans="1:9" ht="14.45" x14ac:dyDescent="0.3">
      <c r="A20" s="149">
        <f t="shared" si="2"/>
        <v>9</v>
      </c>
      <c r="B20" s="154" t="s">
        <v>55</v>
      </c>
      <c r="C20" s="154"/>
      <c r="D20" s="34">
        <f>'45600155'!B15</f>
        <v>-7954222</v>
      </c>
      <c r="F20" s="151">
        <f>E20-D20</f>
        <v>7954222</v>
      </c>
      <c r="H20"/>
      <c r="I20"/>
    </row>
    <row r="21" spans="1:9" ht="14.45" x14ac:dyDescent="0.3">
      <c r="A21" s="149">
        <f t="shared" si="2"/>
        <v>10</v>
      </c>
      <c r="H21"/>
      <c r="I21"/>
    </row>
    <row r="22" spans="1:9" ht="14.45" x14ac:dyDescent="0.3">
      <c r="A22" s="149">
        <f t="shared" si="2"/>
        <v>11</v>
      </c>
      <c r="B22" s="159" t="s">
        <v>57</v>
      </c>
      <c r="C22" s="160">
        <f>+[4]Inputs!$B$6</f>
        <v>6.0270000000000002E-3</v>
      </c>
      <c r="F22" s="146">
        <f>-C22*F20</f>
        <v>-47940.095994000003</v>
      </c>
      <c r="H22"/>
      <c r="I22"/>
    </row>
    <row r="23" spans="1:9" ht="14.45" x14ac:dyDescent="0.3">
      <c r="A23" s="149">
        <f t="shared" si="2"/>
        <v>12</v>
      </c>
      <c r="B23" s="159" t="s">
        <v>58</v>
      </c>
      <c r="C23" s="160">
        <f>+[4]Inputs!$B$7</f>
        <v>5.0000000000000001E-3</v>
      </c>
      <c r="F23" s="155">
        <f>-C23*F20</f>
        <v>-39771.11</v>
      </c>
      <c r="H23"/>
      <c r="I23"/>
    </row>
    <row r="24" spans="1:9" ht="14.45" x14ac:dyDescent="0.3">
      <c r="A24" s="149">
        <f t="shared" si="2"/>
        <v>13</v>
      </c>
      <c r="B24" s="159" t="s">
        <v>59</v>
      </c>
      <c r="C24" s="160">
        <f>+[4]Inputs!$B$8</f>
        <v>3.8501000000000001E-2</v>
      </c>
      <c r="F24" s="157">
        <f>-C24*F20</f>
        <v>-306245.50122199999</v>
      </c>
      <c r="H24"/>
      <c r="I24"/>
    </row>
    <row r="25" spans="1:9" ht="14.45" x14ac:dyDescent="0.3">
      <c r="A25" s="149">
        <f t="shared" si="2"/>
        <v>14</v>
      </c>
      <c r="B25" s="161" t="s">
        <v>56</v>
      </c>
      <c r="C25" s="161"/>
      <c r="F25" s="147">
        <f>SUM(F22:F24)</f>
        <v>-393956.70721600001</v>
      </c>
      <c r="H25"/>
      <c r="I25"/>
    </row>
    <row r="26" spans="1:9" ht="14.45" x14ac:dyDescent="0.3">
      <c r="A26" s="149">
        <f t="shared" si="2"/>
        <v>15</v>
      </c>
      <c r="B26" s="161"/>
      <c r="C26" s="161"/>
      <c r="D26" s="155"/>
      <c r="E26" s="191"/>
      <c r="F26" s="155"/>
      <c r="H26"/>
      <c r="I26"/>
    </row>
    <row r="27" spans="1:9" ht="14.45" x14ac:dyDescent="0.3">
      <c r="A27" s="149">
        <f t="shared" si="2"/>
        <v>16</v>
      </c>
      <c r="B27" s="162" t="s">
        <v>60</v>
      </c>
      <c r="F27" s="146">
        <f>-F20-F25</f>
        <v>-7560265.2927839998</v>
      </c>
      <c r="H27"/>
      <c r="I27"/>
    </row>
    <row r="28" spans="1:9" ht="14.45" x14ac:dyDescent="0.3">
      <c r="A28" s="149">
        <f t="shared" si="2"/>
        <v>17</v>
      </c>
      <c r="B28" s="162" t="s">
        <v>61</v>
      </c>
      <c r="C28" s="163">
        <v>0.21</v>
      </c>
      <c r="F28" s="157">
        <f>+C28*F27</f>
        <v>-1587655.7114846399</v>
      </c>
      <c r="H28"/>
      <c r="I28"/>
    </row>
    <row r="29" spans="1:9" thickBot="1" x14ac:dyDescent="0.35">
      <c r="A29" s="149">
        <f t="shared" si="2"/>
        <v>18</v>
      </c>
      <c r="B29" s="162" t="s">
        <v>62</v>
      </c>
      <c r="F29" s="164">
        <f>F27-F28</f>
        <v>-5972609.5812993599</v>
      </c>
      <c r="H29"/>
      <c r="I29"/>
    </row>
    <row r="30" spans="1:9" thickTop="1" x14ac:dyDescent="0.3">
      <c r="A30" s="149"/>
      <c r="H30"/>
      <c r="I30"/>
    </row>
    <row r="31" spans="1:9" ht="13.9" x14ac:dyDescent="0.25">
      <c r="A31" s="149"/>
    </row>
    <row r="32" spans="1:9" ht="13.9" x14ac:dyDescent="0.25">
      <c r="A32" s="149"/>
      <c r="F32" s="165"/>
    </row>
    <row r="33" spans="1:1" ht="13.9" x14ac:dyDescent="0.25">
      <c r="A33" s="149"/>
    </row>
    <row r="34" spans="1:1" ht="13.9" x14ac:dyDescent="0.25">
      <c r="A34" s="149"/>
    </row>
    <row r="35" spans="1:1" ht="13.9" x14ac:dyDescent="0.25">
      <c r="A35" s="149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D39" sqref="D39"/>
    </sheetView>
  </sheetViews>
  <sheetFormatPr defaultColWidth="9.140625" defaultRowHeight="15" x14ac:dyDescent="0.25"/>
  <cols>
    <col min="1" max="1" width="5.140625" style="6" bestFit="1" customWidth="1"/>
    <col min="2" max="2" width="61.7109375" style="6" bestFit="1" customWidth="1"/>
    <col min="3" max="3" width="9.42578125" style="6" bestFit="1" customWidth="1"/>
    <col min="4" max="5" width="13.28515625" style="6" customWidth="1"/>
    <col min="6" max="6" width="15.140625" style="6" bestFit="1" customWidth="1"/>
    <col min="7" max="7" width="9.140625" style="6"/>
    <col min="8" max="8" width="28.5703125" style="6" customWidth="1"/>
    <col min="9" max="9" width="16" style="6" bestFit="1" customWidth="1"/>
    <col min="10" max="16384" width="9.140625" style="6"/>
  </cols>
  <sheetData>
    <row r="1" spans="1:11" ht="14.45" thickBot="1" x14ac:dyDescent="0.3"/>
    <row r="2" spans="1:11" ht="14.45" thickBot="1" x14ac:dyDescent="0.3">
      <c r="A2" s="43"/>
      <c r="B2" s="43"/>
      <c r="C2" s="43"/>
      <c r="D2" s="43"/>
      <c r="E2" s="43"/>
      <c r="F2" s="44" t="s">
        <v>41</v>
      </c>
    </row>
    <row r="3" spans="1:11" ht="13.9" x14ac:dyDescent="0.25">
      <c r="A3" s="45"/>
      <c r="B3" s="45"/>
      <c r="C3" s="45"/>
      <c r="D3" s="45"/>
      <c r="E3" s="45"/>
      <c r="F3" s="45"/>
    </row>
    <row r="4" spans="1:11" ht="13.9" x14ac:dyDescent="0.25">
      <c r="A4" s="46" t="s">
        <v>30</v>
      </c>
      <c r="B4" s="47"/>
      <c r="C4" s="47"/>
      <c r="D4" s="47"/>
      <c r="E4" s="47"/>
      <c r="F4" s="47"/>
    </row>
    <row r="5" spans="1:11" ht="13.9" x14ac:dyDescent="0.25">
      <c r="A5" s="48" t="s">
        <v>64</v>
      </c>
      <c r="B5" s="49"/>
      <c r="C5" s="49"/>
      <c r="D5" s="49"/>
      <c r="E5" s="49"/>
      <c r="F5" s="49"/>
    </row>
    <row r="6" spans="1:11" ht="13.9" x14ac:dyDescent="0.25">
      <c r="A6" s="5" t="str">
        <f>Electric!A6</f>
        <v>FOR THE TWELVE MONTHS ENDED DECEMBER 31, 2024</v>
      </c>
      <c r="B6" s="50"/>
      <c r="C6" s="50"/>
      <c r="D6" s="50"/>
      <c r="E6" s="50"/>
      <c r="F6" s="50"/>
    </row>
    <row r="7" spans="1:11" ht="13.9" x14ac:dyDescent="0.25">
      <c r="A7" s="46" t="s">
        <v>31</v>
      </c>
      <c r="B7" s="50"/>
      <c r="C7" s="50"/>
      <c r="D7" s="50"/>
      <c r="E7" s="50"/>
      <c r="F7" s="50"/>
    </row>
    <row r="8" spans="1:11" ht="13.9" x14ac:dyDescent="0.25">
      <c r="A8" s="51"/>
      <c r="B8" s="51"/>
      <c r="C8" s="51"/>
      <c r="D8" s="51"/>
      <c r="E8" s="51"/>
      <c r="F8" s="51"/>
    </row>
    <row r="9" spans="1:11" ht="13.9" x14ac:dyDescent="0.25">
      <c r="A9" s="52" t="s">
        <v>32</v>
      </c>
      <c r="B9" s="45"/>
      <c r="C9" s="45"/>
      <c r="D9" s="52"/>
      <c r="E9" s="52"/>
      <c r="F9" s="52"/>
    </row>
    <row r="10" spans="1:11" ht="13.9" x14ac:dyDescent="0.25">
      <c r="A10" s="53" t="s">
        <v>33</v>
      </c>
      <c r="B10" s="54" t="s">
        <v>34</v>
      </c>
      <c r="C10" s="54"/>
      <c r="D10" s="55" t="s">
        <v>35</v>
      </c>
      <c r="E10" s="55" t="s">
        <v>36</v>
      </c>
      <c r="F10" s="55" t="s">
        <v>37</v>
      </c>
    </row>
    <row r="11" spans="1:11" ht="13.9" x14ac:dyDescent="0.25">
      <c r="A11" s="56"/>
      <c r="B11" s="57"/>
      <c r="C11" s="57"/>
      <c r="D11" s="57"/>
      <c r="E11" s="57"/>
      <c r="F11" s="57"/>
    </row>
    <row r="12" spans="1:11" ht="13.9" x14ac:dyDescent="0.25">
      <c r="A12" s="149">
        <v>1</v>
      </c>
      <c r="B12" s="150"/>
      <c r="C12" s="150"/>
      <c r="D12" s="151"/>
      <c r="E12" s="151"/>
      <c r="F12" s="151"/>
    </row>
    <row r="13" spans="1:11" ht="13.9" x14ac:dyDescent="0.25">
      <c r="A13" s="149">
        <v>2</v>
      </c>
      <c r="B13" s="150" t="s">
        <v>44</v>
      </c>
      <c r="C13" s="150"/>
      <c r="D13" s="152"/>
      <c r="E13" s="153"/>
      <c r="F13" s="153"/>
    </row>
    <row r="14" spans="1:11" ht="14.45" x14ac:dyDescent="0.3">
      <c r="A14" s="149">
        <v>3</v>
      </c>
      <c r="B14" s="154" t="s">
        <v>38</v>
      </c>
      <c r="C14" s="154"/>
      <c r="D14" s="151">
        <f>'2024 AMI in  Ratebase'!D14</f>
        <v>117341796.15826897</v>
      </c>
      <c r="E14" s="191">
        <f>+D14+F14</f>
        <v>41790723.492120922</v>
      </c>
      <c r="F14" s="193">
        <f>-'AMI Debt Return proof'!$H$6*D14</f>
        <v>-75551072.666148052</v>
      </c>
      <c r="H14"/>
      <c r="I14"/>
      <c r="J14"/>
      <c r="K14"/>
    </row>
    <row r="15" spans="1:11" ht="14.45" x14ac:dyDescent="0.3">
      <c r="A15" s="149">
        <v>4</v>
      </c>
      <c r="B15" s="154" t="s">
        <v>39</v>
      </c>
      <c r="C15" s="154"/>
      <c r="D15" s="155">
        <f>'2024 AMI in  Ratebase'!D15</f>
        <v>-18377754.026182897</v>
      </c>
      <c r="E15" s="191">
        <f t="shared" ref="E15:E16" si="0">+D15+F15</f>
        <v>-6545149.8277606685</v>
      </c>
      <c r="F15" s="155">
        <f>-'AMI Debt Return proof'!$H$6*D15</f>
        <v>11832604.198422229</v>
      </c>
      <c r="H15"/>
      <c r="I15"/>
      <c r="J15"/>
      <c r="K15"/>
    </row>
    <row r="16" spans="1:11" ht="14.45" x14ac:dyDescent="0.3">
      <c r="A16" s="149">
        <v>5</v>
      </c>
      <c r="B16" s="156" t="s">
        <v>40</v>
      </c>
      <c r="C16" s="156"/>
      <c r="D16" s="157">
        <f>'2024 AMI in  Ratebase'!D16</f>
        <v>-17183906.420724567</v>
      </c>
      <c r="E16" s="192">
        <f t="shared" si="0"/>
        <v>-6119966.6721854247</v>
      </c>
      <c r="F16" s="157">
        <f>-'AMI Debt Return proof'!$H$6*D16</f>
        <v>11063939.748539142</v>
      </c>
      <c r="H16"/>
      <c r="I16"/>
      <c r="J16"/>
      <c r="K16"/>
    </row>
    <row r="17" spans="1:11" ht="14.45" x14ac:dyDescent="0.3">
      <c r="A17" s="149">
        <v>6</v>
      </c>
      <c r="B17" s="158" t="s">
        <v>45</v>
      </c>
      <c r="C17" s="158"/>
      <c r="D17" s="151">
        <f>SUM(D14:D16)</f>
        <v>81780135.711361498</v>
      </c>
      <c r="E17" s="151">
        <f t="shared" ref="E17:F17" si="1">SUM(E14:E16)</f>
        <v>29125606.99217483</v>
      </c>
      <c r="F17" s="151">
        <f t="shared" si="1"/>
        <v>-52654528.719186679</v>
      </c>
      <c r="H17"/>
      <c r="I17"/>
      <c r="J17"/>
      <c r="K17"/>
    </row>
    <row r="18" spans="1:11" ht="14.45" x14ac:dyDescent="0.3">
      <c r="A18" s="149">
        <f>+A17+1</f>
        <v>7</v>
      </c>
      <c r="E18" s="194"/>
      <c r="H18"/>
      <c r="I18"/>
      <c r="J18"/>
      <c r="K18"/>
    </row>
    <row r="19" spans="1:11" ht="14.45" x14ac:dyDescent="0.3">
      <c r="A19" s="149">
        <f t="shared" ref="A19:A29" si="2">+A18+1</f>
        <v>8</v>
      </c>
      <c r="B19" s="150" t="s">
        <v>50</v>
      </c>
      <c r="C19" s="150"/>
      <c r="E19" s="194"/>
      <c r="H19"/>
      <c r="I19"/>
      <c r="J19"/>
      <c r="K19"/>
    </row>
    <row r="20" spans="1:11" ht="14.45" x14ac:dyDescent="0.3">
      <c r="A20" s="149">
        <f t="shared" si="2"/>
        <v>9</v>
      </c>
      <c r="B20" s="154" t="s">
        <v>55</v>
      </c>
      <c r="C20" s="154"/>
      <c r="D20" s="34">
        <f>+'49500071'!B15</f>
        <v>-4219414</v>
      </c>
      <c r="E20" s="194"/>
      <c r="F20" s="151">
        <f>E20-D20</f>
        <v>4219414</v>
      </c>
      <c r="H20"/>
      <c r="I20"/>
      <c r="J20"/>
      <c r="K20"/>
    </row>
    <row r="21" spans="1:11" ht="14.45" x14ac:dyDescent="0.3">
      <c r="A21" s="149">
        <f t="shared" si="2"/>
        <v>10</v>
      </c>
      <c r="H21"/>
      <c r="I21"/>
      <c r="J21"/>
      <c r="K21"/>
    </row>
    <row r="22" spans="1:11" ht="14.45" x14ac:dyDescent="0.3">
      <c r="A22" s="149">
        <f t="shared" si="2"/>
        <v>11</v>
      </c>
      <c r="B22" s="159" t="s">
        <v>57</v>
      </c>
      <c r="C22" s="160">
        <f>[5]Inputs!$B$6</f>
        <v>2.9520000000000002E-3</v>
      </c>
      <c r="F22" s="146">
        <f>-C22*F20</f>
        <v>-12455.710128000001</v>
      </c>
      <c r="H22"/>
      <c r="I22"/>
      <c r="J22"/>
      <c r="K22"/>
    </row>
    <row r="23" spans="1:11" ht="14.45" x14ac:dyDescent="0.3">
      <c r="A23" s="149">
        <f t="shared" si="2"/>
        <v>12</v>
      </c>
      <c r="B23" s="159" t="s">
        <v>58</v>
      </c>
      <c r="C23" s="160">
        <f>[5]Inputs!$B$7</f>
        <v>5.0000000000000001E-3</v>
      </c>
      <c r="F23" s="155">
        <f>-C23*F20</f>
        <v>-21097.07</v>
      </c>
      <c r="H23"/>
      <c r="I23"/>
      <c r="J23"/>
      <c r="K23"/>
    </row>
    <row r="24" spans="1:11" ht="14.45" x14ac:dyDescent="0.3">
      <c r="A24" s="149">
        <f t="shared" si="2"/>
        <v>13</v>
      </c>
      <c r="B24" s="159" t="s">
        <v>59</v>
      </c>
      <c r="C24" s="160">
        <f>[5]Inputs!$B$8</f>
        <v>3.8406000000000003E-2</v>
      </c>
      <c r="F24" s="157">
        <f>-C24*F20</f>
        <v>-162050.81408400001</v>
      </c>
      <c r="H24"/>
      <c r="I24"/>
      <c r="J24"/>
      <c r="K24"/>
    </row>
    <row r="25" spans="1:11" ht="14.45" x14ac:dyDescent="0.3">
      <c r="A25" s="149">
        <f t="shared" si="2"/>
        <v>14</v>
      </c>
      <c r="B25" s="161" t="s">
        <v>56</v>
      </c>
      <c r="C25" s="161"/>
      <c r="F25" s="147">
        <f>SUM(F22:F24)</f>
        <v>-195603.59421200003</v>
      </c>
      <c r="H25"/>
      <c r="I25"/>
      <c r="J25"/>
      <c r="K25"/>
    </row>
    <row r="26" spans="1:11" ht="14.45" x14ac:dyDescent="0.3">
      <c r="A26" s="149">
        <f t="shared" si="2"/>
        <v>15</v>
      </c>
      <c r="B26" s="161"/>
      <c r="C26" s="161"/>
      <c r="F26" s="148"/>
      <c r="H26"/>
      <c r="I26"/>
      <c r="J26"/>
      <c r="K26"/>
    </row>
    <row r="27" spans="1:11" ht="14.45" x14ac:dyDescent="0.3">
      <c r="A27" s="149">
        <f t="shared" si="2"/>
        <v>16</v>
      </c>
      <c r="B27" s="162" t="s">
        <v>60</v>
      </c>
      <c r="F27" s="146">
        <f>-F20-F25</f>
        <v>-4023810.4057879997</v>
      </c>
      <c r="H27"/>
      <c r="I27"/>
      <c r="J27"/>
      <c r="K27"/>
    </row>
    <row r="28" spans="1:11" ht="14.45" x14ac:dyDescent="0.3">
      <c r="A28" s="149">
        <f t="shared" si="2"/>
        <v>17</v>
      </c>
      <c r="B28" s="162" t="s">
        <v>61</v>
      </c>
      <c r="C28" s="163">
        <v>0.21</v>
      </c>
      <c r="F28" s="157">
        <f>+C28*F27</f>
        <v>-845000.18521547993</v>
      </c>
      <c r="H28"/>
      <c r="I28"/>
      <c r="J28"/>
      <c r="K28"/>
    </row>
    <row r="29" spans="1:11" thickBot="1" x14ac:dyDescent="0.35">
      <c r="A29" s="149">
        <f t="shared" si="2"/>
        <v>18</v>
      </c>
      <c r="B29" s="162" t="s">
        <v>62</v>
      </c>
      <c r="F29" s="164">
        <f>F27-F28</f>
        <v>-3178810.22057252</v>
      </c>
      <c r="H29"/>
      <c r="I29"/>
      <c r="J29"/>
      <c r="K29"/>
    </row>
    <row r="30" spans="1:11" thickTop="1" x14ac:dyDescent="0.3">
      <c r="A30" s="149"/>
      <c r="H30"/>
      <c r="I30"/>
      <c r="J30"/>
      <c r="K30"/>
    </row>
    <row r="31" spans="1:11" ht="14.45" x14ac:dyDescent="0.3">
      <c r="A31" s="149"/>
      <c r="H31"/>
      <c r="I31"/>
      <c r="J31"/>
      <c r="K31"/>
    </row>
    <row r="32" spans="1:11" ht="14.45" x14ac:dyDescent="0.3">
      <c r="A32" s="58"/>
      <c r="F32" s="165"/>
      <c r="H32"/>
      <c r="I32"/>
      <c r="J32"/>
      <c r="K32"/>
    </row>
    <row r="33" spans="1:5" ht="13.9" x14ac:dyDescent="0.25">
      <c r="A33" s="58"/>
      <c r="E33" s="6" t="s">
        <v>156</v>
      </c>
    </row>
    <row r="34" spans="1:5" ht="13.9" x14ac:dyDescent="0.25">
      <c r="A34" s="58"/>
    </row>
    <row r="35" spans="1:5" ht="13.9" x14ac:dyDescent="0.25">
      <c r="A35" s="58"/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D19" sqref="D19"/>
    </sheetView>
  </sheetViews>
  <sheetFormatPr defaultColWidth="8.85546875" defaultRowHeight="15" x14ac:dyDescent="0.25"/>
  <cols>
    <col min="1" max="1" width="4.85546875" style="6" bestFit="1" customWidth="1"/>
    <col min="2" max="2" width="34.42578125" style="6" bestFit="1" customWidth="1"/>
    <col min="3" max="3" width="14.28515625" style="6" bestFit="1" customWidth="1"/>
    <col min="4" max="4" width="13.5703125" style="6" bestFit="1" customWidth="1"/>
    <col min="5" max="5" width="14.28515625" style="6" bestFit="1" customWidth="1"/>
    <col min="6" max="16384" width="8.85546875" style="6"/>
  </cols>
  <sheetData>
    <row r="1" spans="1:5" x14ac:dyDescent="0.25">
      <c r="E1" s="7"/>
    </row>
    <row r="2" spans="1:5" x14ac:dyDescent="0.25">
      <c r="A2" s="8" t="s">
        <v>14</v>
      </c>
      <c r="B2" s="9"/>
      <c r="C2" s="9"/>
      <c r="D2" s="9"/>
      <c r="E2" s="9"/>
    </row>
    <row r="3" spans="1:5" x14ac:dyDescent="0.25">
      <c r="A3" s="10" t="s">
        <v>15</v>
      </c>
      <c r="B3" s="9"/>
      <c r="C3" s="9"/>
      <c r="D3" s="9"/>
      <c r="E3" s="9"/>
    </row>
    <row r="4" spans="1:5" x14ac:dyDescent="0.25">
      <c r="A4" s="11" t="str">
        <f>Electric!A6</f>
        <v>FOR THE TWELVE MONTHS ENDED DECEMBER 31, 2024</v>
      </c>
      <c r="B4" s="9"/>
      <c r="C4" s="9"/>
      <c r="D4" s="9"/>
      <c r="E4" s="9"/>
    </row>
    <row r="5" spans="1:5" x14ac:dyDescent="0.25">
      <c r="A5" s="8" t="s">
        <v>16</v>
      </c>
      <c r="B5" s="9"/>
      <c r="C5" s="9"/>
      <c r="D5" s="9"/>
      <c r="E5" s="9"/>
    </row>
    <row r="6" spans="1:5" x14ac:dyDescent="0.25">
      <c r="A6" s="5"/>
      <c r="B6" s="9"/>
      <c r="C6" s="9"/>
      <c r="D6" s="9"/>
      <c r="E6" s="9"/>
    </row>
    <row r="7" spans="1:5" x14ac:dyDescent="0.25">
      <c r="A7" s="5"/>
      <c r="B7" s="9"/>
      <c r="C7" s="9"/>
      <c r="D7" s="9"/>
      <c r="E7" s="9"/>
    </row>
    <row r="8" spans="1:5" x14ac:dyDescent="0.25">
      <c r="A8" s="5"/>
      <c r="B8" s="9"/>
      <c r="C8" s="9"/>
      <c r="D8" s="9"/>
      <c r="E8" s="9"/>
    </row>
    <row r="9" spans="1:5" x14ac:dyDescent="0.25">
      <c r="A9" s="12" t="s">
        <v>12</v>
      </c>
    </row>
    <row r="10" spans="1:5" x14ac:dyDescent="0.25">
      <c r="A10" s="13" t="s">
        <v>11</v>
      </c>
      <c r="B10" s="13" t="s">
        <v>0</v>
      </c>
      <c r="C10" s="14" t="s">
        <v>10</v>
      </c>
      <c r="D10" s="14" t="s">
        <v>9</v>
      </c>
      <c r="E10" s="14" t="s">
        <v>8</v>
      </c>
    </row>
    <row r="11" spans="1:5" x14ac:dyDescent="0.25">
      <c r="A11" s="16"/>
      <c r="B11" s="16"/>
      <c r="C11" s="17"/>
      <c r="D11" s="17"/>
      <c r="E11" s="17"/>
    </row>
    <row r="12" spans="1:5" x14ac:dyDescent="0.25">
      <c r="A12" s="15">
        <v>1</v>
      </c>
      <c r="B12" s="16"/>
      <c r="C12" s="17"/>
      <c r="D12" s="17"/>
      <c r="E12" s="17"/>
    </row>
    <row r="13" spans="1:5" x14ac:dyDescent="0.25">
      <c r="A13" s="18">
        <v>2</v>
      </c>
      <c r="B13" s="59" t="s">
        <v>44</v>
      </c>
    </row>
    <row r="14" spans="1:5" x14ac:dyDescent="0.25">
      <c r="A14" s="18">
        <v>3</v>
      </c>
      <c r="B14" s="60" t="s">
        <v>38</v>
      </c>
      <c r="C14" s="19">
        <f>+AMI!C166</f>
        <v>286823960.15006435</v>
      </c>
      <c r="D14" s="19">
        <f>+AMI!F166</f>
        <v>117341796.15826897</v>
      </c>
      <c r="E14" s="19">
        <f>C14+D14</f>
        <v>404165756.30833334</v>
      </c>
    </row>
    <row r="15" spans="1:5" x14ac:dyDescent="0.25">
      <c r="A15" s="15">
        <v>4</v>
      </c>
      <c r="B15" s="60" t="s">
        <v>39</v>
      </c>
      <c r="C15" s="20">
        <f>-AMI!D166</f>
        <v>-56758361.582514636</v>
      </c>
      <c r="D15" s="20">
        <f>-AMI!G166</f>
        <v>-18377754.026182897</v>
      </c>
      <c r="E15" s="20">
        <f>D15+C15</f>
        <v>-75136115.608697534</v>
      </c>
    </row>
    <row r="16" spans="1:5" x14ac:dyDescent="0.25">
      <c r="A16" s="15">
        <v>5</v>
      </c>
      <c r="B16" s="61" t="s">
        <v>40</v>
      </c>
      <c r="C16" s="63">
        <f>+'AMI DFIT'!AX48</f>
        <v>-37373943.020837016</v>
      </c>
      <c r="D16" s="63">
        <f>+'AMI DFIT'!AX54</f>
        <v>-17183906.420724567</v>
      </c>
      <c r="E16" s="63">
        <f>D16+C16</f>
        <v>-54557849.44156158</v>
      </c>
    </row>
    <row r="17" spans="1:5" x14ac:dyDescent="0.25">
      <c r="A17" s="15">
        <v>6</v>
      </c>
      <c r="B17" s="62" t="s">
        <v>45</v>
      </c>
      <c r="C17" s="19">
        <f>SUM(C14:C16)</f>
        <v>192691655.5467127</v>
      </c>
      <c r="D17" s="19">
        <f>SUM(D14:D16)</f>
        <v>81780135.711361498</v>
      </c>
      <c r="E17" s="19">
        <f>SUM(E14:E16)</f>
        <v>274471791.25807422</v>
      </c>
    </row>
    <row r="19" spans="1:5" x14ac:dyDescent="0.25">
      <c r="B19" s="6" t="s">
        <v>1</v>
      </c>
      <c r="C19" s="33">
        <f>+AMI!D166-AMI!D154</f>
        <v>14177789.977442361</v>
      </c>
      <c r="D19" s="33">
        <f>+AMI!F166-AMI!F154</f>
        <v>2846317.4689878225</v>
      </c>
      <c r="E19" s="33">
        <f>+C19+D19</f>
        <v>17024107.446430184</v>
      </c>
    </row>
    <row r="24" spans="1:5" ht="14.45" x14ac:dyDescent="0.25">
      <c r="B24" s="21"/>
    </row>
    <row r="25" spans="1:5" ht="14.45" x14ac:dyDescent="0.25">
      <c r="B25" s="2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"/>
  <sheetViews>
    <sheetView zoomScale="90" zoomScaleNormal="90" workbookViewId="0">
      <pane xSplit="2" ySplit="3" topLeftCell="C149" activePane="bottomRight" state="frozen"/>
      <selection activeCell="D24" sqref="D24"/>
      <selection pane="topRight" activeCell="D24" sqref="D24"/>
      <selection pane="bottomLeft" activeCell="D24" sqref="D24"/>
      <selection pane="bottomRight" activeCell="N116" sqref="N116"/>
    </sheetView>
  </sheetViews>
  <sheetFormatPr defaultColWidth="9.140625" defaultRowHeight="15" x14ac:dyDescent="0.25"/>
  <cols>
    <col min="1" max="1" width="47.140625" style="1" bestFit="1" customWidth="1"/>
    <col min="2" max="2" width="11" style="1" bestFit="1" customWidth="1"/>
    <col min="3" max="3" width="23" style="1" bestFit="1" customWidth="1"/>
    <col min="4" max="4" width="15.7109375" style="1" bestFit="1" customWidth="1"/>
    <col min="5" max="5" width="1.7109375" style="1" customWidth="1"/>
    <col min="6" max="7" width="15.7109375" style="1" bestFit="1" customWidth="1"/>
    <col min="8" max="8" width="1.7109375" style="1" customWidth="1"/>
    <col min="9" max="10" width="15.7109375" style="1" bestFit="1" customWidth="1"/>
    <col min="11" max="11" width="12.5703125" style="1" bestFit="1" customWidth="1"/>
    <col min="12" max="12" width="15.42578125" style="1" customWidth="1"/>
    <col min="13" max="15" width="12" style="1" bestFit="1" customWidth="1"/>
    <col min="16" max="16" width="34" style="1" bestFit="1" customWidth="1"/>
    <col min="17" max="23" width="15.28515625" style="1" bestFit="1" customWidth="1"/>
    <col min="24" max="28" width="13.140625" style="1" bestFit="1" customWidth="1"/>
    <col min="29" max="29" width="12" style="1" bestFit="1" customWidth="1"/>
    <col min="30" max="16384" width="9.140625" style="1"/>
  </cols>
  <sheetData>
    <row r="1" spans="1:13" x14ac:dyDescent="0.25">
      <c r="A1" s="12" t="s">
        <v>5</v>
      </c>
      <c r="B1" s="16"/>
      <c r="F1" s="139"/>
    </row>
    <row r="2" spans="1:13" x14ac:dyDescent="0.25">
      <c r="A2" s="138" t="s">
        <v>5</v>
      </c>
      <c r="B2" s="137"/>
      <c r="C2" s="213" t="s">
        <v>2</v>
      </c>
      <c r="D2" s="213"/>
      <c r="E2" s="195"/>
      <c r="F2" s="213" t="s">
        <v>3</v>
      </c>
      <c r="G2" s="213"/>
      <c r="H2" s="195"/>
      <c r="I2" s="213" t="s">
        <v>4</v>
      </c>
      <c r="J2" s="213"/>
    </row>
    <row r="3" spans="1:13" x14ac:dyDescent="0.25">
      <c r="C3" s="136" t="s">
        <v>6</v>
      </c>
      <c r="D3" s="136" t="s">
        <v>7</v>
      </c>
      <c r="E3" s="136"/>
      <c r="F3" s="136" t="s">
        <v>6</v>
      </c>
      <c r="G3" s="136" t="s">
        <v>7</v>
      </c>
      <c r="H3" s="136"/>
      <c r="I3" s="136" t="s">
        <v>6</v>
      </c>
      <c r="J3" s="136" t="s">
        <v>7</v>
      </c>
    </row>
    <row r="4" spans="1:13" x14ac:dyDescent="0.25">
      <c r="A4" s="26">
        <v>44166</v>
      </c>
      <c r="C4" s="134">
        <v>129016630.54000001</v>
      </c>
      <c r="D4" s="134">
        <v>9882835.0500183105</v>
      </c>
      <c r="E4" s="134"/>
      <c r="F4" s="134">
        <v>54062516.830000006</v>
      </c>
      <c r="G4" s="134">
        <v>2677058.9475030703</v>
      </c>
      <c r="H4" s="134"/>
      <c r="I4" s="134">
        <v>53133674.620000012</v>
      </c>
      <c r="J4" s="134">
        <v>28806126.465951025</v>
      </c>
    </row>
    <row r="5" spans="1:13" x14ac:dyDescent="0.25">
      <c r="A5" s="2">
        <v>44197</v>
      </c>
      <c r="C5" s="134">
        <v>133406290.62</v>
      </c>
      <c r="D5" s="134">
        <v>10484006.7465603</v>
      </c>
      <c r="E5" s="134"/>
      <c r="F5" s="134">
        <v>56436673.990000002</v>
      </c>
      <c r="G5" s="134">
        <v>2844329.0851612543</v>
      </c>
      <c r="H5" s="134"/>
      <c r="I5" s="134">
        <v>53133674.620000012</v>
      </c>
      <c r="J5" s="134">
        <v>29761575.464391861</v>
      </c>
      <c r="K5" s="114"/>
      <c r="L5" s="135"/>
      <c r="M5" s="135"/>
    </row>
    <row r="6" spans="1:13" x14ac:dyDescent="0.25">
      <c r="A6" s="2">
        <v>44228</v>
      </c>
      <c r="C6" s="134">
        <v>134059959.81</v>
      </c>
      <c r="D6" s="134">
        <v>11096890.6371201</v>
      </c>
      <c r="E6" s="134"/>
      <c r="F6" s="134">
        <v>56199363.289999999</v>
      </c>
      <c r="G6" s="134">
        <v>3010105.9417090602</v>
      </c>
      <c r="H6" s="134"/>
      <c r="I6" s="134">
        <v>53133674.620000012</v>
      </c>
      <c r="J6" s="134">
        <v>30717306.021935768</v>
      </c>
    </row>
    <row r="7" spans="1:13" x14ac:dyDescent="0.25">
      <c r="A7" s="126">
        <v>44256</v>
      </c>
      <c r="C7" s="134">
        <v>142424871.41</v>
      </c>
      <c r="D7" s="134">
        <v>11729973.5487266</v>
      </c>
      <c r="E7" s="134"/>
      <c r="F7" s="134">
        <v>60922588.960000001</v>
      </c>
      <c r="G7" s="134">
        <v>3165425.4072435177</v>
      </c>
      <c r="H7" s="134"/>
      <c r="I7" s="134">
        <v>55532293.24000001</v>
      </c>
      <c r="J7" s="134">
        <v>31679484.305677842</v>
      </c>
    </row>
    <row r="8" spans="1:13" x14ac:dyDescent="0.25">
      <c r="A8" s="126">
        <v>44287</v>
      </c>
      <c r="C8" s="134">
        <v>142709554.24000001</v>
      </c>
      <c r="D8" s="134">
        <v>12382822.213917499</v>
      </c>
      <c r="E8" s="134"/>
      <c r="F8" s="134">
        <v>60624799.419999994</v>
      </c>
      <c r="G8" s="134">
        <v>3335515.9210386733</v>
      </c>
      <c r="H8" s="134"/>
      <c r="I8" s="134">
        <v>55568980.040000014</v>
      </c>
      <c r="J8" s="134">
        <v>32648638.192333899</v>
      </c>
    </row>
    <row r="9" spans="1:13" x14ac:dyDescent="0.25">
      <c r="A9" s="126">
        <v>44317</v>
      </c>
      <c r="C9" s="134">
        <v>146553360.69999999</v>
      </c>
      <c r="D9" s="134">
        <v>13045410.310000001</v>
      </c>
      <c r="E9" s="134"/>
      <c r="F9" s="134">
        <v>61458931.600000001</v>
      </c>
      <c r="G9" s="134">
        <v>3495870.3620000002</v>
      </c>
      <c r="H9" s="134"/>
      <c r="I9" s="134">
        <v>56005874.970000014</v>
      </c>
      <c r="J9" s="134">
        <v>33619106.259999998</v>
      </c>
    </row>
    <row r="10" spans="1:13" x14ac:dyDescent="0.25">
      <c r="A10" s="126">
        <v>44348</v>
      </c>
      <c r="C10" s="134">
        <v>157426932.03999999</v>
      </c>
      <c r="D10" s="134">
        <v>13741815.2913842</v>
      </c>
      <c r="E10" s="134"/>
      <c r="F10" s="134">
        <v>67644556.329999998</v>
      </c>
      <c r="G10" s="134">
        <v>3680948.2693790551</v>
      </c>
      <c r="H10" s="134"/>
      <c r="I10" s="134">
        <v>56005874.970000014</v>
      </c>
      <c r="J10" s="134">
        <v>34237167.937608838</v>
      </c>
    </row>
    <row r="11" spans="1:13" x14ac:dyDescent="0.25">
      <c r="A11" s="126">
        <v>44378</v>
      </c>
      <c r="C11" s="134">
        <v>156253083.16</v>
      </c>
      <c r="D11" s="134">
        <v>14460119.555240599</v>
      </c>
      <c r="E11" s="134"/>
      <c r="F11" s="134">
        <v>67626869.939999998</v>
      </c>
      <c r="G11" s="134">
        <v>3858264.892992327</v>
      </c>
      <c r="H11" s="134"/>
      <c r="I11" s="134">
        <v>31177433.339999996</v>
      </c>
      <c r="J11" s="134">
        <v>9676965.5672448985</v>
      </c>
    </row>
    <row r="12" spans="1:13" x14ac:dyDescent="0.25">
      <c r="A12" s="126">
        <v>44409</v>
      </c>
      <c r="C12" s="134">
        <v>156653632.02000001</v>
      </c>
      <c r="D12" s="134">
        <v>15176973.300481001</v>
      </c>
      <c r="E12" s="134"/>
      <c r="F12" s="134">
        <v>69948991.599999994</v>
      </c>
      <c r="G12" s="134">
        <v>4000573.2300765039</v>
      </c>
      <c r="H12" s="134"/>
      <c r="I12" s="134">
        <v>31177433.339999996</v>
      </c>
      <c r="J12" s="134">
        <v>9941390.37190721</v>
      </c>
    </row>
    <row r="13" spans="1:13" x14ac:dyDescent="0.25">
      <c r="A13" s="126">
        <v>44440</v>
      </c>
      <c r="C13" s="134">
        <v>160459858.38999999</v>
      </c>
      <c r="D13" s="134">
        <v>15903633.4149468</v>
      </c>
      <c r="E13" s="134"/>
      <c r="F13" s="134">
        <v>71482111.420000002</v>
      </c>
      <c r="G13" s="134">
        <v>4117070.1552742911</v>
      </c>
      <c r="H13" s="134"/>
      <c r="I13" s="134">
        <v>31177433.339999996</v>
      </c>
      <c r="J13" s="134">
        <v>10205805.226807849</v>
      </c>
    </row>
    <row r="14" spans="1:13" x14ac:dyDescent="0.25">
      <c r="A14" s="126">
        <v>44470</v>
      </c>
      <c r="C14" s="134">
        <v>160827235.63999999</v>
      </c>
      <c r="D14" s="134">
        <v>16639518.485840701</v>
      </c>
      <c r="E14" s="134"/>
      <c r="F14" s="134">
        <v>73048649.179999992</v>
      </c>
      <c r="G14" s="134">
        <v>4315308.574580525</v>
      </c>
      <c r="H14" s="134"/>
      <c r="I14" s="134">
        <v>32838521.209999993</v>
      </c>
      <c r="J14" s="134">
        <v>10474830.06166856</v>
      </c>
    </row>
    <row r="15" spans="1:13" x14ac:dyDescent="0.25">
      <c r="A15" s="126">
        <v>44501</v>
      </c>
      <c r="C15" s="134">
        <v>162513837.61000001</v>
      </c>
      <c r="D15" s="134">
        <v>17380108.565514199</v>
      </c>
      <c r="E15" s="134"/>
      <c r="F15" s="134">
        <v>73669103.929999992</v>
      </c>
      <c r="G15" s="134">
        <v>4505767.9085268388</v>
      </c>
      <c r="H15" s="134"/>
      <c r="I15" s="134">
        <v>32845868.829999998</v>
      </c>
      <c r="J15" s="134">
        <v>10748473.180358319</v>
      </c>
      <c r="L15" s="120" t="s">
        <v>13</v>
      </c>
    </row>
    <row r="16" spans="1:13" x14ac:dyDescent="0.25">
      <c r="A16" s="130">
        <v>44531</v>
      </c>
      <c r="B16" s="119"/>
      <c r="C16" s="133">
        <v>166330918.37</v>
      </c>
      <c r="D16" s="133">
        <v>18129967.037717599</v>
      </c>
      <c r="E16" s="133"/>
      <c r="F16" s="133">
        <v>79477107.519999996</v>
      </c>
      <c r="G16" s="133">
        <v>4738218.0785166007</v>
      </c>
      <c r="H16" s="133"/>
      <c r="I16" s="133">
        <v>64149043.360000007</v>
      </c>
      <c r="J16" s="133">
        <v>11109026.930916309</v>
      </c>
      <c r="K16" s="114" t="s">
        <v>84</v>
      </c>
      <c r="L16" s="108">
        <v>0.65980000000000005</v>
      </c>
      <c r="M16" s="108">
        <v>0.3402</v>
      </c>
    </row>
    <row r="17" spans="1:12" x14ac:dyDescent="0.25">
      <c r="A17" s="2">
        <v>44562</v>
      </c>
      <c r="C17" s="131">
        <v>166402317.05000001</v>
      </c>
      <c r="D17" s="131">
        <v>18887034.899501</v>
      </c>
      <c r="E17" s="131"/>
      <c r="F17" s="131">
        <v>80999872.099999994</v>
      </c>
      <c r="G17" s="131">
        <v>5027064.2319586016</v>
      </c>
      <c r="H17" s="131"/>
      <c r="I17" s="131">
        <v>64990773.370000012</v>
      </c>
      <c r="J17" s="131">
        <v>11558853.890653955</v>
      </c>
      <c r="K17" s="115"/>
    </row>
    <row r="18" spans="1:12" x14ac:dyDescent="0.25">
      <c r="A18" s="2">
        <v>44593</v>
      </c>
      <c r="C18" s="131">
        <v>167955106.15000001</v>
      </c>
      <c r="D18" s="131">
        <v>19653270.765745599</v>
      </c>
      <c r="E18" s="131"/>
      <c r="F18" s="131">
        <v>78980942.539999992</v>
      </c>
      <c r="G18" s="131">
        <v>5158510.3307912815</v>
      </c>
      <c r="H18" s="131"/>
      <c r="I18" s="131">
        <v>65016065.56000001</v>
      </c>
      <c r="J18" s="131">
        <v>12011416.984536752</v>
      </c>
      <c r="K18" s="115"/>
    </row>
    <row r="19" spans="1:12" x14ac:dyDescent="0.25">
      <c r="A19" s="2">
        <v>44621</v>
      </c>
      <c r="C19" s="131">
        <v>173432875.46000001</v>
      </c>
      <c r="D19" s="131">
        <v>20435618.300756101</v>
      </c>
      <c r="E19" s="131"/>
      <c r="F19" s="131">
        <v>80830470.929999992</v>
      </c>
      <c r="G19" s="131">
        <v>5373477.8558366932</v>
      </c>
      <c r="H19" s="131"/>
      <c r="I19" s="131">
        <v>65019903.420000009</v>
      </c>
      <c r="J19" s="131">
        <v>12463986.35308006</v>
      </c>
      <c r="K19" s="115"/>
    </row>
    <row r="20" spans="1:12" x14ac:dyDescent="0.25">
      <c r="A20" s="2">
        <v>44652</v>
      </c>
      <c r="C20" s="131">
        <v>173503338.94</v>
      </c>
      <c r="D20" s="131">
        <v>21230680.294748999</v>
      </c>
      <c r="E20" s="131"/>
      <c r="F20" s="131">
        <v>80273491.999999985</v>
      </c>
      <c r="G20" s="131">
        <v>5605511.0548881227</v>
      </c>
      <c r="H20" s="131"/>
      <c r="I20" s="131">
        <v>65026453.940000013</v>
      </c>
      <c r="J20" s="131">
        <v>12916679.813480902</v>
      </c>
      <c r="K20" s="115"/>
    </row>
    <row r="21" spans="1:12" x14ac:dyDescent="0.25">
      <c r="A21" s="2">
        <v>44682</v>
      </c>
      <c r="C21" s="131">
        <v>173698435</v>
      </c>
      <c r="D21" s="131">
        <v>22026350.800000001</v>
      </c>
      <c r="E21" s="131"/>
      <c r="F21" s="131">
        <v>80344748.809999987</v>
      </c>
      <c r="G21" s="131">
        <v>5891380.3222000003</v>
      </c>
      <c r="H21" s="131"/>
      <c r="I21" s="131">
        <v>64925932.980000012</v>
      </c>
      <c r="J21" s="131">
        <v>13368137.437000001</v>
      </c>
      <c r="K21" s="115"/>
    </row>
    <row r="22" spans="1:12" x14ac:dyDescent="0.25">
      <c r="A22" s="2">
        <v>44713</v>
      </c>
      <c r="C22" s="131">
        <v>173911682.09</v>
      </c>
      <c r="D22" s="131">
        <v>22822957.542475</v>
      </c>
      <c r="E22" s="131"/>
      <c r="F22" s="131">
        <v>82110459.959999993</v>
      </c>
      <c r="G22" s="131">
        <v>6081595.7509585433</v>
      </c>
      <c r="H22" s="131"/>
      <c r="I22" s="131">
        <v>64825436.750000007</v>
      </c>
      <c r="J22" s="131">
        <v>13701340.122506119</v>
      </c>
      <c r="K22" s="115"/>
    </row>
    <row r="23" spans="1:12" x14ac:dyDescent="0.25">
      <c r="A23" s="2">
        <v>44743</v>
      </c>
      <c r="C23" s="131">
        <v>176436606.33000001</v>
      </c>
      <c r="D23" s="131">
        <v>23625838.620730501</v>
      </c>
      <c r="E23" s="131"/>
      <c r="F23" s="131">
        <v>83095882.149999991</v>
      </c>
      <c r="G23" s="131">
        <v>6226311.9118375266</v>
      </c>
      <c r="H23" s="131"/>
      <c r="I23" s="131">
        <v>64839966.110000007</v>
      </c>
      <c r="J23" s="131">
        <v>14151691.30827705</v>
      </c>
      <c r="K23" s="115"/>
    </row>
    <row r="24" spans="1:12" x14ac:dyDescent="0.25">
      <c r="A24" s="2">
        <v>44774</v>
      </c>
      <c r="C24" s="131">
        <v>180587926.13</v>
      </c>
      <c r="D24" s="131">
        <v>24444019.9493712</v>
      </c>
      <c r="E24" s="131"/>
      <c r="F24" s="131">
        <v>83547577.439999998</v>
      </c>
      <c r="G24" s="131">
        <v>6324100.025634544</v>
      </c>
      <c r="H24" s="131"/>
      <c r="I24" s="131">
        <v>64840439.660000004</v>
      </c>
      <c r="J24" s="131">
        <v>14601219.029328279</v>
      </c>
      <c r="K24" s="115"/>
      <c r="L24" s="132"/>
    </row>
    <row r="25" spans="1:12" x14ac:dyDescent="0.25">
      <c r="A25" s="2">
        <v>44805</v>
      </c>
      <c r="C25" s="131">
        <v>184893175.40000001</v>
      </c>
      <c r="D25" s="131">
        <v>25281580.8093905</v>
      </c>
      <c r="E25" s="131"/>
      <c r="F25" s="131">
        <v>84290213.010000005</v>
      </c>
      <c r="G25" s="131">
        <v>6502337.1339801131</v>
      </c>
      <c r="H25" s="131"/>
      <c r="I25" s="131">
        <v>64852044.760000005</v>
      </c>
      <c r="J25" s="131">
        <v>14987750.538520573</v>
      </c>
      <c r="K25" s="68"/>
      <c r="L25" s="127"/>
    </row>
    <row r="26" spans="1:12" x14ac:dyDescent="0.25">
      <c r="A26" s="2">
        <v>44835</v>
      </c>
      <c r="C26" s="131">
        <v>184972954.94999999</v>
      </c>
      <c r="D26" s="131">
        <v>26129190.770659301</v>
      </c>
      <c r="E26" s="131"/>
      <c r="F26" s="131">
        <v>81915803.939999983</v>
      </c>
      <c r="G26" s="131">
        <v>6789786.4228981966</v>
      </c>
      <c r="H26" s="131"/>
      <c r="I26" s="131">
        <v>64791257.720000006</v>
      </c>
      <c r="J26" s="131">
        <v>15436651.272591161</v>
      </c>
      <c r="K26" s="68"/>
      <c r="L26" s="127"/>
    </row>
    <row r="27" spans="1:12" x14ac:dyDescent="0.25">
      <c r="A27" s="2">
        <v>44866</v>
      </c>
      <c r="C27" s="131">
        <v>188582579.18000001</v>
      </c>
      <c r="D27" s="131">
        <v>26985255.537361398</v>
      </c>
      <c r="E27" s="131"/>
      <c r="F27" s="131">
        <v>83554690.939999998</v>
      </c>
      <c r="G27" s="131">
        <v>7090641.3274475271</v>
      </c>
      <c r="H27" s="131"/>
      <c r="I27" s="131">
        <v>64366292.850000001</v>
      </c>
      <c r="J27" s="131">
        <v>15884223.50197986</v>
      </c>
      <c r="K27" s="68"/>
      <c r="L27" s="127"/>
    </row>
    <row r="28" spans="1:12" x14ac:dyDescent="0.25">
      <c r="A28" s="130">
        <v>44896</v>
      </c>
      <c r="B28" s="119"/>
      <c r="C28" s="129">
        <v>189877803.99000001</v>
      </c>
      <c r="D28" s="129">
        <v>26696185.228328899</v>
      </c>
      <c r="E28" s="129"/>
      <c r="F28" s="129">
        <v>89478631.75999999</v>
      </c>
      <c r="G28" s="129">
        <v>7072171.2844134709</v>
      </c>
      <c r="H28" s="129"/>
      <c r="I28" s="129">
        <v>64399743.640000001</v>
      </c>
      <c r="J28" s="129">
        <v>16310294.906413792</v>
      </c>
      <c r="K28" s="114" t="s">
        <v>84</v>
      </c>
      <c r="L28" s="127"/>
    </row>
    <row r="29" spans="1:12" x14ac:dyDescent="0.25">
      <c r="A29" s="126">
        <v>44927</v>
      </c>
      <c r="B29" s="4"/>
      <c r="C29" s="128">
        <v>192310466.80000001</v>
      </c>
      <c r="D29" s="128">
        <v>27578403.570233501</v>
      </c>
      <c r="E29" s="128"/>
      <c r="F29" s="128">
        <v>91007006.859999985</v>
      </c>
      <c r="G29" s="128">
        <v>7461184.9283566866</v>
      </c>
      <c r="H29" s="128"/>
      <c r="I29" s="128">
        <v>62097116.390000008</v>
      </c>
      <c r="J29" s="128">
        <v>14325227.86856338</v>
      </c>
      <c r="K29" s="114"/>
      <c r="L29" s="127"/>
    </row>
    <row r="30" spans="1:12" x14ac:dyDescent="0.25">
      <c r="A30" s="126">
        <v>44958</v>
      </c>
      <c r="B30" s="4"/>
      <c r="C30" s="128">
        <v>193064575.72</v>
      </c>
      <c r="D30" s="128">
        <v>28369794.585457899</v>
      </c>
      <c r="E30" s="128"/>
      <c r="F30" s="128">
        <v>92738309.849999994</v>
      </c>
      <c r="G30" s="128">
        <v>7876679.2151069539</v>
      </c>
      <c r="H30" s="128"/>
      <c r="I30" s="128">
        <v>61971438.710000008</v>
      </c>
      <c r="J30" s="128">
        <v>14732069.824523868</v>
      </c>
      <c r="K30" s="114"/>
      <c r="L30" s="127"/>
    </row>
    <row r="31" spans="1:12" x14ac:dyDescent="0.25">
      <c r="A31" s="126">
        <v>44986</v>
      </c>
      <c r="B31" s="4"/>
      <c r="C31" s="128">
        <v>198527160.94999999</v>
      </c>
      <c r="D31" s="128">
        <v>29278614.506095801</v>
      </c>
      <c r="E31" s="128"/>
      <c r="F31" s="128">
        <v>90630873.849999994</v>
      </c>
      <c r="G31" s="128">
        <v>8012250.3312330116</v>
      </c>
      <c r="H31" s="128"/>
      <c r="I31" s="128">
        <v>62545654.070000008</v>
      </c>
      <c r="J31" s="128">
        <v>15140145.133111449</v>
      </c>
      <c r="K31" s="114"/>
      <c r="L31" s="127"/>
    </row>
    <row r="32" spans="1:12" x14ac:dyDescent="0.25">
      <c r="A32" s="126">
        <v>45017</v>
      </c>
      <c r="B32" s="4"/>
      <c r="C32" s="128">
        <v>202862612.59999999</v>
      </c>
      <c r="D32" s="128">
        <v>30210172.707309</v>
      </c>
      <c r="E32" s="128"/>
      <c r="F32" s="128">
        <v>91718227.539999992</v>
      </c>
      <c r="G32" s="128">
        <v>8402947.6789663658</v>
      </c>
      <c r="H32" s="128"/>
      <c r="I32" s="128">
        <v>61970149.870000005</v>
      </c>
      <c r="J32" s="128">
        <v>15548220.614035869</v>
      </c>
      <c r="K32" s="114"/>
      <c r="L32" s="127"/>
    </row>
    <row r="33" spans="1:12" x14ac:dyDescent="0.25">
      <c r="A33" s="126">
        <v>45047</v>
      </c>
      <c r="B33" s="4"/>
      <c r="C33" s="128">
        <v>205722518.16</v>
      </c>
      <c r="D33" s="128">
        <v>31158430.703738499</v>
      </c>
      <c r="E33" s="128"/>
      <c r="F33" s="128">
        <v>92021923.149999991</v>
      </c>
      <c r="G33" s="128">
        <v>8748985.0111336019</v>
      </c>
      <c r="H33" s="128"/>
      <c r="I33" s="128">
        <v>61963655.960000008</v>
      </c>
      <c r="J33" s="128">
        <v>15954262.514279779</v>
      </c>
      <c r="K33" s="114"/>
      <c r="L33" s="127"/>
    </row>
    <row r="34" spans="1:12" x14ac:dyDescent="0.25">
      <c r="A34" s="126">
        <v>45078</v>
      </c>
      <c r="B34" s="4"/>
      <c r="C34" s="128">
        <v>210258940.78</v>
      </c>
      <c r="D34" s="128">
        <v>31210201.311326701</v>
      </c>
      <c r="E34" s="128"/>
      <c r="F34" s="128">
        <v>95418214.399999991</v>
      </c>
      <c r="G34" s="128">
        <v>8797412.4375027567</v>
      </c>
      <c r="H34" s="128"/>
      <c r="I34" s="128">
        <v>61944310.180000007</v>
      </c>
      <c r="J34" s="128">
        <v>16044916.600517903</v>
      </c>
      <c r="K34" s="114"/>
      <c r="L34" s="127"/>
    </row>
    <row r="35" spans="1:12" x14ac:dyDescent="0.25">
      <c r="A35" s="126">
        <v>45108</v>
      </c>
      <c r="B35" s="4"/>
      <c r="C35" s="128">
        <v>211721257.91999999</v>
      </c>
      <c r="D35" s="128">
        <v>33103199.962371498</v>
      </c>
      <c r="E35" s="128"/>
      <c r="F35" s="128">
        <v>94335464.829999983</v>
      </c>
      <c r="G35" s="128">
        <v>9374595.7036890518</v>
      </c>
      <c r="H35" s="128"/>
      <c r="I35" s="128">
        <v>60947005.790000007</v>
      </c>
      <c r="J35" s="128">
        <v>15727960.86028108</v>
      </c>
      <c r="K35" s="114"/>
      <c r="L35" s="127"/>
    </row>
    <row r="36" spans="1:12" x14ac:dyDescent="0.25">
      <c r="A36" s="126">
        <v>45139</v>
      </c>
      <c r="B36" s="4"/>
      <c r="C36" s="128">
        <v>211781365.58000001</v>
      </c>
      <c r="D36" s="128">
        <v>34086078.809715152</v>
      </c>
      <c r="E36" s="128"/>
      <c r="F36" s="128">
        <v>93959165.699999988</v>
      </c>
      <c r="G36" s="128">
        <v>9737526.794412002</v>
      </c>
      <c r="H36" s="128"/>
      <c r="I36" s="128">
        <v>60915534.540000007</v>
      </c>
      <c r="J36" s="128">
        <v>16117248.669996589</v>
      </c>
      <c r="K36" s="114"/>
      <c r="L36" s="127"/>
    </row>
    <row r="37" spans="1:12" x14ac:dyDescent="0.25">
      <c r="A37" s="126">
        <v>45170</v>
      </c>
      <c r="B37" s="4"/>
      <c r="C37" s="128">
        <v>212077100.38</v>
      </c>
      <c r="D37" s="128">
        <v>35069784.172910288</v>
      </c>
      <c r="E37" s="128"/>
      <c r="F37" s="128">
        <v>94415248.489999995</v>
      </c>
      <c r="G37" s="128">
        <v>10104438.299651148</v>
      </c>
      <c r="H37" s="128"/>
      <c r="I37" s="128">
        <v>60916816.57</v>
      </c>
      <c r="J37" s="128">
        <v>16506452.83218538</v>
      </c>
      <c r="K37" s="114"/>
      <c r="L37" s="127"/>
    </row>
    <row r="38" spans="1:12" x14ac:dyDescent="0.25">
      <c r="A38" s="126">
        <v>45200</v>
      </c>
      <c r="B38" s="4"/>
      <c r="C38" s="128">
        <v>213217762.09</v>
      </c>
      <c r="D38" s="128">
        <v>36056822.819513202</v>
      </c>
      <c r="E38" s="128"/>
      <c r="F38" s="128">
        <v>94766894.659999996</v>
      </c>
      <c r="G38" s="128">
        <v>10524297.268139139</v>
      </c>
      <c r="H38" s="128"/>
      <c r="I38" s="128">
        <v>61016927.25</v>
      </c>
      <c r="J38" s="128">
        <v>16895938.280750901</v>
      </c>
      <c r="K38" s="114"/>
      <c r="L38" s="127"/>
    </row>
    <row r="39" spans="1:12" x14ac:dyDescent="0.25">
      <c r="A39" s="126">
        <v>45231</v>
      </c>
      <c r="B39" s="4"/>
      <c r="C39" s="128">
        <v>219480408.06</v>
      </c>
      <c r="D39" s="128">
        <v>37061042.654770799</v>
      </c>
      <c r="E39" s="128"/>
      <c r="F39" s="128">
        <v>95228792.409999996</v>
      </c>
      <c r="G39" s="128">
        <v>10908476.758466158</v>
      </c>
      <c r="H39" s="128"/>
      <c r="I39" s="128">
        <v>60906393.270000003</v>
      </c>
      <c r="J39" s="128">
        <v>17285395.295681201</v>
      </c>
      <c r="K39" s="114"/>
      <c r="L39" s="127"/>
    </row>
    <row r="40" spans="1:12" x14ac:dyDescent="0.25">
      <c r="A40" s="130">
        <v>45261</v>
      </c>
      <c r="B40" s="119"/>
      <c r="C40" s="129">
        <v>219042793.21000001</v>
      </c>
      <c r="D40" s="129">
        <v>38078782.206596501</v>
      </c>
      <c r="E40" s="129"/>
      <c r="F40" s="129">
        <v>96281466.829999998</v>
      </c>
      <c r="G40" s="129">
        <v>11157027.298187891</v>
      </c>
      <c r="H40" s="129"/>
      <c r="I40" s="129">
        <v>61033556.830000006</v>
      </c>
      <c r="J40" s="129">
        <v>17674692.352108002</v>
      </c>
      <c r="K40" s="114" t="s">
        <v>84</v>
      </c>
      <c r="L40" s="127"/>
    </row>
    <row r="41" spans="1:12" x14ac:dyDescent="0.25">
      <c r="A41" s="126">
        <v>45292</v>
      </c>
      <c r="B41" s="4"/>
      <c r="C41" s="85">
        <v>218765059.31999999</v>
      </c>
      <c r="D41" s="85">
        <v>39094861.247368298</v>
      </c>
      <c r="E41" s="85"/>
      <c r="F41" s="85">
        <v>96151433.299999997</v>
      </c>
      <c r="G41" s="85">
        <v>11593054.7463226</v>
      </c>
      <c r="H41" s="85"/>
      <c r="I41" s="85">
        <v>61018793.369999997</v>
      </c>
      <c r="J41" s="85">
        <v>18049319.375956703</v>
      </c>
      <c r="K41" s="114"/>
      <c r="L41" s="127"/>
    </row>
    <row r="42" spans="1:12" x14ac:dyDescent="0.25">
      <c r="A42" s="126">
        <v>45323</v>
      </c>
      <c r="B42" s="4"/>
      <c r="C42" s="85">
        <v>235817470.06</v>
      </c>
      <c r="D42" s="85">
        <v>40189345.862533703</v>
      </c>
      <c r="E42" s="85"/>
      <c r="F42" s="85">
        <v>96764753.199999988</v>
      </c>
      <c r="G42" s="85">
        <v>10584403.991795242</v>
      </c>
      <c r="H42" s="85"/>
      <c r="I42" s="85">
        <v>61018794.280000001</v>
      </c>
      <c r="J42" s="85">
        <v>18438764.278549999</v>
      </c>
      <c r="K42" s="114"/>
      <c r="L42" s="127"/>
    </row>
    <row r="43" spans="1:12" x14ac:dyDescent="0.25">
      <c r="A43" s="126">
        <v>45352</v>
      </c>
      <c r="B43" s="4"/>
      <c r="C43" s="85">
        <v>239314515.65000001</v>
      </c>
      <c r="D43" s="85">
        <v>41292048.116007201</v>
      </c>
      <c r="E43" s="85">
        <v>0</v>
      </c>
      <c r="F43" s="85">
        <v>96897927.299999997</v>
      </c>
      <c r="G43" s="85">
        <v>11023263.271507388</v>
      </c>
      <c r="H43" s="85">
        <v>0</v>
      </c>
      <c r="I43" s="85">
        <v>61020289.660000004</v>
      </c>
      <c r="J43" s="85">
        <v>18828213.629584901</v>
      </c>
      <c r="K43" s="114"/>
      <c r="L43" s="127"/>
    </row>
    <row r="44" spans="1:12" x14ac:dyDescent="0.25">
      <c r="A44" s="126">
        <v>45383</v>
      </c>
      <c r="B44" s="4"/>
      <c r="C44" s="85">
        <v>240266046.08000001</v>
      </c>
      <c r="D44" s="85">
        <v>42405074.714158103</v>
      </c>
      <c r="E44" s="85">
        <v>0</v>
      </c>
      <c r="F44" s="85">
        <v>96281706.989999995</v>
      </c>
      <c r="G44" s="85">
        <v>11461048.774281669</v>
      </c>
      <c r="H44" s="85">
        <v>0</v>
      </c>
      <c r="I44" s="85">
        <v>61248323.990000002</v>
      </c>
      <c r="J44" s="85">
        <v>19218300.851050798</v>
      </c>
      <c r="K44" s="114"/>
      <c r="L44" s="127"/>
    </row>
    <row r="45" spans="1:12" x14ac:dyDescent="0.25">
      <c r="A45" s="126">
        <v>45413</v>
      </c>
      <c r="B45" s="4"/>
      <c r="C45" s="85">
        <v>240350308.84</v>
      </c>
      <c r="D45" s="85">
        <v>43520505.644024298</v>
      </c>
      <c r="E45" s="85">
        <v>0</v>
      </c>
      <c r="F45" s="85">
        <v>97232761.650000006</v>
      </c>
      <c r="G45" s="85">
        <v>11899653.383058138</v>
      </c>
      <c r="H45" s="85">
        <v>0</v>
      </c>
      <c r="I45" s="85">
        <v>61847290.549999997</v>
      </c>
      <c r="J45" s="85">
        <v>19610686.086371902</v>
      </c>
      <c r="K45" s="114"/>
      <c r="L45" s="127"/>
    </row>
    <row r="46" spans="1:12" x14ac:dyDescent="0.25">
      <c r="A46" s="126">
        <v>45444</v>
      </c>
      <c r="B46" s="4"/>
      <c r="C46" s="85">
        <v>241509386.59999999</v>
      </c>
      <c r="D46" s="85">
        <v>44638821.488300398</v>
      </c>
      <c r="E46" s="85"/>
      <c r="F46" s="85">
        <v>97738867.669999987</v>
      </c>
      <c r="G46" s="85">
        <v>12341630.647564281</v>
      </c>
      <c r="H46" s="85"/>
      <c r="I46" s="85">
        <v>61847667.579999998</v>
      </c>
      <c r="J46" s="85">
        <v>19972792.8065263</v>
      </c>
      <c r="K46" s="114"/>
      <c r="L46" s="127"/>
    </row>
    <row r="47" spans="1:12" x14ac:dyDescent="0.25">
      <c r="A47" s="126">
        <v>45474</v>
      </c>
      <c r="B47" s="4"/>
      <c r="C47" s="85">
        <v>241927518.22999999</v>
      </c>
      <c r="D47" s="85">
        <v>45760797.394405298</v>
      </c>
      <c r="E47" s="85"/>
      <c r="F47" s="85">
        <v>96754821.589999989</v>
      </c>
      <c r="G47" s="85">
        <v>12257739.43348645</v>
      </c>
      <c r="H47" s="85"/>
      <c r="I47" s="85">
        <v>58021134.909999996</v>
      </c>
      <c r="J47" s="85">
        <v>16476423.660724899</v>
      </c>
      <c r="K47" s="114"/>
      <c r="L47" s="127"/>
    </row>
    <row r="48" spans="1:12" x14ac:dyDescent="0.25">
      <c r="A48" s="126">
        <v>45505</v>
      </c>
      <c r="B48" s="4"/>
      <c r="C48" s="85">
        <v>243365525.86000001</v>
      </c>
      <c r="D48" s="85">
        <v>46887081.726328202</v>
      </c>
      <c r="E48" s="85"/>
      <c r="F48" s="85">
        <v>96970670.030000001</v>
      </c>
      <c r="G48" s="85">
        <v>12696965.03928161</v>
      </c>
      <c r="H48" s="85"/>
      <c r="I48" s="85">
        <v>58021134.909999996</v>
      </c>
      <c r="J48" s="85">
        <v>16806587.023768701</v>
      </c>
      <c r="K48" s="114"/>
      <c r="L48" s="127"/>
    </row>
    <row r="49" spans="1:12" x14ac:dyDescent="0.25">
      <c r="A49" s="126">
        <v>45536</v>
      </c>
      <c r="B49" s="4"/>
      <c r="C49" s="128">
        <v>272981055.38999999</v>
      </c>
      <c r="D49" s="128">
        <v>48085436.3645484</v>
      </c>
      <c r="E49" s="128">
        <v>0</v>
      </c>
      <c r="F49" s="128">
        <v>97595470.219999999</v>
      </c>
      <c r="G49" s="128">
        <v>13097947.039208541</v>
      </c>
      <c r="H49" s="128">
        <v>0</v>
      </c>
      <c r="I49" s="128">
        <v>58021465.219999999</v>
      </c>
      <c r="J49" s="128">
        <v>17136750.998966299</v>
      </c>
      <c r="K49" s="114"/>
      <c r="L49" s="127"/>
    </row>
    <row r="50" spans="1:12" x14ac:dyDescent="0.25">
      <c r="A50" s="126">
        <v>45566</v>
      </c>
      <c r="B50" s="4"/>
      <c r="C50" s="128">
        <v>272934964</v>
      </c>
      <c r="D50" s="128">
        <v>49352416.315742202</v>
      </c>
      <c r="E50" s="128">
        <v>0</v>
      </c>
      <c r="F50" s="128">
        <v>97829784.840000004</v>
      </c>
      <c r="G50" s="128">
        <v>13496910.226239059</v>
      </c>
      <c r="H50" s="128">
        <v>0</v>
      </c>
      <c r="I50" s="128">
        <v>58021465.219999999</v>
      </c>
      <c r="J50" s="128">
        <v>17466916.103920702</v>
      </c>
      <c r="K50" s="114"/>
      <c r="L50" s="127"/>
    </row>
    <row r="51" spans="1:12" x14ac:dyDescent="0.25">
      <c r="A51" s="126">
        <v>45597</v>
      </c>
      <c r="B51" s="4"/>
      <c r="C51" s="128">
        <v>273012347.56999999</v>
      </c>
      <c r="D51" s="128">
        <v>50619468.635203898</v>
      </c>
      <c r="E51" s="128">
        <v>0</v>
      </c>
      <c r="F51" s="128">
        <v>98018369.459999993</v>
      </c>
      <c r="G51" s="128">
        <v>13923018.923584647</v>
      </c>
      <c r="H51" s="128">
        <v>0</v>
      </c>
      <c r="I51" s="128">
        <v>58021557.379999995</v>
      </c>
      <c r="J51" s="128">
        <v>17797081.639024101</v>
      </c>
      <c r="K51" s="114"/>
      <c r="L51" s="127"/>
    </row>
    <row r="52" spans="1:12" x14ac:dyDescent="0.25">
      <c r="A52" s="130">
        <v>45627</v>
      </c>
      <c r="B52" s="119"/>
      <c r="C52" s="129">
        <f>+'Plant Assets'!C21</f>
        <v>273089797.72000003</v>
      </c>
      <c r="D52" s="129">
        <f>+'Plant Assets'!D21</f>
        <v>51886881.326156698</v>
      </c>
      <c r="E52" s="129"/>
      <c r="F52" s="129">
        <f>+'Plant Assets'!F21</f>
        <v>99331617.590000004</v>
      </c>
      <c r="G52" s="129">
        <f>+'Plant Assets'!G21</f>
        <v>14295485.267749378</v>
      </c>
      <c r="H52" s="129"/>
      <c r="I52" s="129">
        <f>+'Plant Assets'!I21</f>
        <v>58021557.379999995</v>
      </c>
      <c r="J52" s="129">
        <f>+'Plant Assets'!J21</f>
        <v>18127247.279152598</v>
      </c>
      <c r="K52" s="114"/>
      <c r="L52" s="127"/>
    </row>
    <row r="53" spans="1:12" x14ac:dyDescent="0.25">
      <c r="A53" s="126"/>
      <c r="C53" s="125"/>
      <c r="D53" s="125"/>
      <c r="E53" s="125"/>
      <c r="F53" s="125"/>
      <c r="G53" s="125"/>
      <c r="H53" s="125"/>
      <c r="I53" s="125"/>
      <c r="J53" s="125"/>
      <c r="K53" s="114"/>
    </row>
    <row r="54" spans="1:12" x14ac:dyDescent="0.25">
      <c r="A54" s="119" t="s">
        <v>147</v>
      </c>
      <c r="B54" s="119"/>
      <c r="C54" s="124">
        <f t="shared" ref="C54:D73" si="0">((C4+C16)+(2*(SUM(C5:C15))))/24</f>
        <v>150080199.17458332</v>
      </c>
      <c r="D54" s="124">
        <f t="shared" si="0"/>
        <v>13837306.092799997</v>
      </c>
      <c r="E54" s="124"/>
      <c r="F54" s="124">
        <f t="shared" ref="F54:G73" si="1">((F4+F16)+(2*(SUM(F5:F15))))/24</f>
        <v>65486037.652916647</v>
      </c>
      <c r="G54" s="124">
        <f t="shared" si="1"/>
        <v>3669734.8550826572</v>
      </c>
      <c r="H54" s="124"/>
      <c r="I54" s="124">
        <f t="shared" ref="I54:J73" si="2">((I4+I16)+(2*(SUM(I5:I15))))/24</f>
        <v>45603201.792499997</v>
      </c>
      <c r="J54" s="124">
        <f t="shared" si="2"/>
        <v>21972359.940697391</v>
      </c>
      <c r="K54" s="114" t="s">
        <v>84</v>
      </c>
    </row>
    <row r="55" spans="1:12" x14ac:dyDescent="0.25">
      <c r="A55" s="4" t="s">
        <v>146</v>
      </c>
      <c r="C55" s="121">
        <f t="shared" si="0"/>
        <v>153009795.60208333</v>
      </c>
      <c r="D55" s="121">
        <f t="shared" si="0"/>
        <v>14531062.765326664</v>
      </c>
      <c r="E55" s="121"/>
      <c r="F55" s="121">
        <f t="shared" si="1"/>
        <v>67568445.51958333</v>
      </c>
      <c r="G55" s="121">
        <f t="shared" si="1"/>
        <v>3846563.7833247767</v>
      </c>
      <c r="H55" s="121"/>
      <c r="I55" s="121">
        <f t="shared" si="2"/>
        <v>46556221.271250002</v>
      </c>
      <c r="J55" s="121">
        <f t="shared" si="2"/>
        <v>20476534.061165195</v>
      </c>
    </row>
    <row r="56" spans="1:12" x14ac:dyDescent="0.25">
      <c r="A56" s="4" t="s">
        <v>145</v>
      </c>
      <c r="B56" s="27"/>
      <c r="C56" s="121">
        <f t="shared" si="0"/>
        <v>155796927.80083331</v>
      </c>
      <c r="D56" s="121">
        <f t="shared" si="0"/>
        <v>15237704.777058588</v>
      </c>
      <c r="E56" s="121"/>
      <c r="F56" s="121">
        <f t="shared" si="1"/>
        <v>69541144.576250002</v>
      </c>
      <c r="G56" s="121">
        <f t="shared" si="1"/>
        <v>4027027.9306530915</v>
      </c>
      <c r="H56" s="121"/>
      <c r="I56" s="121">
        <f t="shared" si="2"/>
        <v>47545366.675000004</v>
      </c>
      <c r="J56" s="121">
        <f t="shared" si="2"/>
        <v>18938675.285701159</v>
      </c>
    </row>
    <row r="57" spans="1:12" x14ac:dyDescent="0.25">
      <c r="A57" s="4" t="s">
        <v>144</v>
      </c>
      <c r="B57" s="27"/>
      <c r="C57" s="121">
        <f t="shared" si="0"/>
        <v>158501225.73375002</v>
      </c>
      <c r="D57" s="121">
        <f t="shared" si="0"/>
        <v>15956955.813752549</v>
      </c>
      <c r="E57" s="121"/>
      <c r="F57" s="121">
        <f t="shared" si="1"/>
        <v>71319872.127083316</v>
      </c>
      <c r="G57" s="121">
        <f t="shared" si="1"/>
        <v>4208546.9655562332</v>
      </c>
      <c r="H57" s="121"/>
      <c r="I57" s="121">
        <f t="shared" si="2"/>
        <v>48435783.388333343</v>
      </c>
      <c r="J57" s="121">
        <f t="shared" si="2"/>
        <v>17358617.494451296</v>
      </c>
    </row>
    <row r="58" spans="1:12" x14ac:dyDescent="0.25">
      <c r="A58" s="4" t="s">
        <v>143</v>
      </c>
      <c r="B58" s="27"/>
      <c r="C58" s="121">
        <f t="shared" si="0"/>
        <v>161076300.26499999</v>
      </c>
      <c r="D58" s="121">
        <f t="shared" si="0"/>
        <v>16688351.765121756</v>
      </c>
      <c r="E58" s="121"/>
      <c r="F58" s="121">
        <f t="shared" si="1"/>
        <v>72968062.733333334</v>
      </c>
      <c r="G58" s="121">
        <f t="shared" si="1"/>
        <v>4395132.281491342</v>
      </c>
      <c r="H58" s="121"/>
      <c r="I58" s="121">
        <f t="shared" si="2"/>
        <v>49225161.891666673</v>
      </c>
      <c r="J58" s="121">
        <f t="shared" si="2"/>
        <v>15735806.813974179</v>
      </c>
    </row>
    <row r="59" spans="1:12" x14ac:dyDescent="0.25">
      <c r="A59" s="4" t="s">
        <v>142</v>
      </c>
      <c r="B59" s="27"/>
      <c r="C59" s="121">
        <f t="shared" si="0"/>
        <v>163490419.39000002</v>
      </c>
      <c r="D59" s="121">
        <f t="shared" si="0"/>
        <v>17431218.372239731</v>
      </c>
      <c r="E59" s="121"/>
      <c r="F59" s="121">
        <f t="shared" si="1"/>
        <v>74573667.307916656</v>
      </c>
      <c r="G59" s="121">
        <f t="shared" si="1"/>
        <v>4589528.3270767359</v>
      </c>
      <c r="H59" s="121"/>
      <c r="I59" s="121">
        <f t="shared" si="2"/>
        <v>49990892.387916677</v>
      </c>
      <c r="J59" s="121">
        <f t="shared" si="2"/>
        <v>14069851.513896972</v>
      </c>
    </row>
    <row r="60" spans="1:12" x14ac:dyDescent="0.25">
      <c r="A60" s="4" t="s">
        <v>141</v>
      </c>
      <c r="B60" s="27"/>
      <c r="C60" s="121">
        <f t="shared" si="0"/>
        <v>165308328.73791668</v>
      </c>
      <c r="D60" s="121">
        <f t="shared" si="0"/>
        <v>18183805.153118517</v>
      </c>
      <c r="E60" s="121"/>
      <c r="F60" s="121">
        <f t="shared" si="1"/>
        <v>75963322.342916653</v>
      </c>
      <c r="G60" s="121">
        <f t="shared" si="1"/>
        <v>4789368.2204842158</v>
      </c>
      <c r="H60" s="121"/>
      <c r="I60" s="121">
        <f t="shared" si="2"/>
        <v>50730043.212500006</v>
      </c>
      <c r="J60" s="121">
        <f t="shared" si="2"/>
        <v>12370401.653976025</v>
      </c>
    </row>
    <row r="61" spans="1:12" x14ac:dyDescent="0.25">
      <c r="A61" s="4" t="s">
        <v>140</v>
      </c>
      <c r="B61" s="27"/>
      <c r="C61" s="121">
        <f t="shared" si="0"/>
        <v>166836173.45541668</v>
      </c>
      <c r="D61" s="121">
        <f t="shared" si="0"/>
        <v>18944091.041309379</v>
      </c>
      <c r="E61" s="121"/>
      <c r="F61" s="121">
        <f t="shared" si="1"/>
        <v>77210610.502916649</v>
      </c>
      <c r="G61" s="121">
        <f t="shared" si="1"/>
        <v>4988063.8246685769</v>
      </c>
      <c r="H61" s="121"/>
      <c r="I61" s="121">
        <f t="shared" si="2"/>
        <v>52500130.485416673</v>
      </c>
      <c r="J61" s="121">
        <f t="shared" si="2"/>
        <v>11701189.067556418</v>
      </c>
    </row>
    <row r="62" spans="1:12" x14ac:dyDescent="0.25">
      <c r="A62" s="4" t="s">
        <v>139</v>
      </c>
      <c r="B62" s="27"/>
      <c r="C62" s="121">
        <f t="shared" si="0"/>
        <v>168674415.84208331</v>
      </c>
      <c r="D62" s="121">
        <f t="shared" si="0"/>
        <v>19712122.946075212</v>
      </c>
      <c r="E62" s="121"/>
      <c r="F62" s="121">
        <f t="shared" si="1"/>
        <v>78421760.421666652</v>
      </c>
      <c r="G62" s="121">
        <f t="shared" si="1"/>
        <v>5183546.06693538</v>
      </c>
      <c r="H62" s="121"/>
      <c r="I62" s="121">
        <f t="shared" si="2"/>
        <v>55305361.280833341</v>
      </c>
      <c r="J62" s="121">
        <f t="shared" si="2"/>
        <v>12081795.500825303</v>
      </c>
      <c r="K62" s="115"/>
    </row>
    <row r="63" spans="1:12" x14ac:dyDescent="0.25">
      <c r="A63" s="4" t="s">
        <v>138</v>
      </c>
      <c r="B63" s="27"/>
      <c r="C63" s="121">
        <f t="shared" si="0"/>
        <v>170689732.97208333</v>
      </c>
      <c r="D63" s="121">
        <f t="shared" si="0"/>
        <v>20488997.697880793</v>
      </c>
      <c r="E63" s="121"/>
      <c r="F63" s="121">
        <f t="shared" si="1"/>
        <v>79522039.064583331</v>
      </c>
      <c r="G63" s="121">
        <f t="shared" si="1"/>
        <v>5379745.8075297065</v>
      </c>
      <c r="H63" s="121"/>
      <c r="I63" s="121">
        <f t="shared" si="2"/>
        <v>58111095.353333324</v>
      </c>
      <c r="J63" s="121">
        <f t="shared" si="2"/>
        <v>12475202.74953921</v>
      </c>
    </row>
    <row r="64" spans="1:12" x14ac:dyDescent="0.25">
      <c r="A64" s="4" t="s">
        <v>137</v>
      </c>
      <c r="B64" s="27"/>
      <c r="C64" s="121">
        <f t="shared" si="0"/>
        <v>172713859.48541668</v>
      </c>
      <c r="D64" s="121">
        <f t="shared" si="0"/>
        <v>21275148.517850056</v>
      </c>
      <c r="E64" s="121"/>
      <c r="F64" s="121">
        <f t="shared" si="1"/>
        <v>80425174.745833322</v>
      </c>
      <c r="G64" s="121">
        <f t="shared" si="1"/>
        <v>5582235.175322352</v>
      </c>
      <c r="H64" s="121"/>
      <c r="I64" s="121">
        <f t="shared" si="2"/>
        <v>60845568.183750004</v>
      </c>
      <c r="J64" s="121">
        <f t="shared" si="2"/>
        <v>12881193.021315685</v>
      </c>
    </row>
    <row r="65" spans="1:11" x14ac:dyDescent="0.25">
      <c r="A65" s="4" t="s">
        <v>136</v>
      </c>
      <c r="B65" s="27"/>
      <c r="C65" s="121">
        <f t="shared" si="0"/>
        <v>174806128.68875</v>
      </c>
      <c r="D65" s="121">
        <f t="shared" si="0"/>
        <v>22070765.986877795</v>
      </c>
      <c r="E65" s="121"/>
      <c r="F65" s="121">
        <f t="shared" si="1"/>
        <v>81206538.986249998</v>
      </c>
      <c r="G65" s="121">
        <f t="shared" si="1"/>
        <v>5793041.4781239508</v>
      </c>
      <c r="H65" s="121"/>
      <c r="I65" s="121">
        <f t="shared" si="2"/>
        <v>63490283.205833346</v>
      </c>
      <c r="J65" s="121">
        <f t="shared" si="2"/>
        <v>13301925.168505022</v>
      </c>
    </row>
    <row r="66" spans="1:11" x14ac:dyDescent="0.25">
      <c r="A66" s="119" t="s">
        <v>135</v>
      </c>
      <c r="B66" s="110"/>
      <c r="C66" s="123">
        <f t="shared" si="0"/>
        <v>176873446.48833337</v>
      </c>
      <c r="D66" s="123">
        <f t="shared" si="0"/>
        <v>22827906.201980237</v>
      </c>
      <c r="E66" s="123"/>
      <c r="F66" s="123">
        <f t="shared" si="1"/>
        <v>82035168.621666655</v>
      </c>
      <c r="G66" s="123">
        <f t="shared" si="1"/>
        <v>5997992.5874913484</v>
      </c>
      <c r="H66" s="123"/>
      <c r="I66" s="123">
        <f t="shared" si="2"/>
        <v>64814080.051666677</v>
      </c>
      <c r="J66" s="123">
        <f t="shared" si="2"/>
        <v>13732634.264218315</v>
      </c>
      <c r="K66" s="114" t="s">
        <v>84</v>
      </c>
    </row>
    <row r="67" spans="1:11" x14ac:dyDescent="0.25">
      <c r="A67" s="4" t="s">
        <v>134</v>
      </c>
      <c r="B67" s="122"/>
      <c r="C67" s="121">
        <f t="shared" si="0"/>
        <v>178934072.96208334</v>
      </c>
      <c r="D67" s="121">
        <f t="shared" si="0"/>
        <v>23546972.3212029</v>
      </c>
      <c r="E67" s="121"/>
      <c r="F67" s="121">
        <f t="shared" si="1"/>
        <v>82868862.746666655</v>
      </c>
      <c r="G67" s="121">
        <f t="shared" si="1"/>
        <v>6196662.3334203037</v>
      </c>
      <c r="H67" s="121"/>
      <c r="I67" s="121">
        <f t="shared" si="2"/>
        <v>64703956.855833344</v>
      </c>
      <c r="J67" s="121">
        <f t="shared" si="2"/>
        <v>14064619.345610268</v>
      </c>
      <c r="K67" s="68"/>
    </row>
    <row r="68" spans="1:11" x14ac:dyDescent="0.25">
      <c r="A68" s="4" t="s">
        <v>133</v>
      </c>
      <c r="B68" s="122"/>
      <c r="C68" s="121">
        <f t="shared" si="0"/>
        <v>181059807.10041669</v>
      </c>
      <c r="D68" s="121">
        <f t="shared" si="0"/>
        <v>24272301.174971428</v>
      </c>
      <c r="E68" s="121"/>
      <c r="F68" s="121">
        <f t="shared" si="1"/>
        <v>83859050.332916662</v>
      </c>
      <c r="G68" s="121">
        <f t="shared" si="1"/>
        <v>6411341.0659500444</v>
      </c>
      <c r="H68" s="121"/>
      <c r="I68" s="121">
        <f t="shared" si="2"/>
        <v>64456528.362916671</v>
      </c>
      <c r="J68" s="121">
        <f t="shared" si="2"/>
        <v>14293245.463022625</v>
      </c>
      <c r="K68" s="68"/>
    </row>
    <row r="69" spans="1:11" x14ac:dyDescent="0.25">
      <c r="A69" s="4" t="s">
        <v>132</v>
      </c>
      <c r="B69" s="122"/>
      <c r="C69" s="121">
        <f t="shared" si="0"/>
        <v>183151630.22791669</v>
      </c>
      <c r="D69" s="121">
        <f t="shared" si="0"/>
        <v>25003947.842681926</v>
      </c>
      <c r="E69" s="121"/>
      <c r="F69" s="121">
        <f t="shared" si="1"/>
        <v>84840624.092500001</v>
      </c>
      <c r="G69" s="121">
        <f t="shared" si="1"/>
        <v>6634546.9559380449</v>
      </c>
      <c r="H69" s="121"/>
      <c r="I69" s="121">
        <f t="shared" si="2"/>
        <v>64226575.187916674</v>
      </c>
      <c r="J69" s="121">
        <f t="shared" si="2"/>
        <v>14518112.613856727</v>
      </c>
      <c r="K69" s="68"/>
    </row>
    <row r="70" spans="1:11" x14ac:dyDescent="0.25">
      <c r="A70" s="4" t="s">
        <v>131</v>
      </c>
      <c r="B70" s="122"/>
      <c r="C70" s="121">
        <f t="shared" si="0"/>
        <v>185420528.52583337</v>
      </c>
      <c r="D70" s="121">
        <f t="shared" si="0"/>
        <v>25746551.535094421</v>
      </c>
      <c r="E70" s="121"/>
      <c r="F70" s="121">
        <f t="shared" si="1"/>
        <v>85725838.195000008</v>
      </c>
      <c r="G70" s="121">
        <f t="shared" si="1"/>
        <v>6861055.6684161527</v>
      </c>
      <c r="H70" s="121"/>
      <c r="I70" s="121">
        <f t="shared" si="2"/>
        <v>63996135.462083347</v>
      </c>
      <c r="J70" s="121">
        <f t="shared" si="2"/>
        <v>14739266.763047827</v>
      </c>
      <c r="K70" s="68"/>
    </row>
    <row r="71" spans="1:11" x14ac:dyDescent="0.25">
      <c r="A71" s="4" t="s">
        <v>130</v>
      </c>
      <c r="B71" s="122"/>
      <c r="C71" s="121">
        <f t="shared" si="0"/>
        <v>187978168.39333335</v>
      </c>
      <c r="D71" s="121">
        <f t="shared" si="0"/>
        <v>26501200.381606851</v>
      </c>
      <c r="E71" s="121"/>
      <c r="F71" s="121">
        <f t="shared" si="1"/>
        <v>86689251.106666669</v>
      </c>
      <c r="G71" s="121">
        <f t="shared" si="1"/>
        <v>7096682.3897916451</v>
      </c>
      <c r="H71" s="121"/>
      <c r="I71" s="121">
        <f t="shared" si="2"/>
        <v>63745361.250000007</v>
      </c>
      <c r="J71" s="121">
        <f t="shared" si="2"/>
        <v>14956669.507957608</v>
      </c>
      <c r="K71" s="68"/>
    </row>
    <row r="72" spans="1:11" x14ac:dyDescent="0.25">
      <c r="A72" s="4" t="s">
        <v>129</v>
      </c>
      <c r="B72" s="122"/>
      <c r="C72" s="121">
        <f t="shared" si="0"/>
        <v>190826974.30375001</v>
      </c>
      <c r="D72" s="121">
        <f t="shared" si="0"/>
        <v>27231172.201298114</v>
      </c>
      <c r="E72" s="121"/>
      <c r="F72" s="121">
        <f t="shared" si="1"/>
        <v>87730289.805833325</v>
      </c>
      <c r="G72" s="121">
        <f t="shared" si="1"/>
        <v>7328908.280436554</v>
      </c>
      <c r="H72" s="121"/>
      <c r="I72" s="121">
        <f t="shared" si="2"/>
        <v>63501886.100416683</v>
      </c>
      <c r="J72" s="121">
        <f t="shared" si="2"/>
        <v>15162073.73942809</v>
      </c>
      <c r="K72" s="68"/>
    </row>
    <row r="73" spans="1:11" x14ac:dyDescent="0.25">
      <c r="A73" s="4" t="s">
        <v>128</v>
      </c>
      <c r="B73" s="122"/>
      <c r="C73" s="121">
        <f t="shared" si="0"/>
        <v>193811637.23208332</v>
      </c>
      <c r="D73" s="121">
        <f t="shared" si="0"/>
        <v>27975530.747568637</v>
      </c>
      <c r="E73" s="121"/>
      <c r="F73" s="121">
        <f t="shared" si="1"/>
        <v>88753095.519166663</v>
      </c>
      <c r="G73" s="121">
        <f t="shared" si="1"/>
        <v>7573245.8003697097</v>
      </c>
      <c r="H73" s="121"/>
      <c r="I73" s="121">
        <f t="shared" si="2"/>
        <v>63219632.480000019</v>
      </c>
      <c r="J73" s="121">
        <f t="shared" si="2"/>
        <v>15325400.657345414</v>
      </c>
      <c r="K73" s="68"/>
    </row>
    <row r="74" spans="1:11" x14ac:dyDescent="0.25">
      <c r="A74" s="4" t="s">
        <v>127</v>
      </c>
      <c r="B74" s="122"/>
      <c r="C74" s="121">
        <f t="shared" ref="C74:D90" si="3">((C24+C36)+(2*(SUM(C25:C35))))/24</f>
        <v>196581557.69208333</v>
      </c>
      <c r="D74" s="121">
        <f t="shared" si="3"/>
        <v>28772173.255984683</v>
      </c>
      <c r="E74" s="121"/>
      <c r="F74" s="121">
        <f t="shared" ref="F74:G90" si="4">((F24+F36)+(2*(SUM(F25:F35))))/24</f>
        <v>89655227.641666651</v>
      </c>
      <c r="G74" s="121">
        <f t="shared" si="4"/>
        <v>7846650.4070625836</v>
      </c>
      <c r="H74" s="121"/>
      <c r="I74" s="121">
        <f t="shared" ref="I74:J90" si="5">((I24+I36)+(2*(SUM(I25:I35))))/24</f>
        <v>62893888.086666673</v>
      </c>
      <c r="J74" s="121">
        <f t="shared" si="5"/>
        <v>15454246.457040094</v>
      </c>
      <c r="K74" s="68"/>
    </row>
    <row r="75" spans="1:11" x14ac:dyDescent="0.25">
      <c r="A75" s="4" t="s">
        <v>126</v>
      </c>
      <c r="B75" s="122"/>
      <c r="C75" s="121">
        <f t="shared" si="3"/>
        <v>199013947.87666667</v>
      </c>
      <c r="D75" s="121">
        <f t="shared" si="3"/>
        <v>29581767.515312333</v>
      </c>
      <c r="E75" s="121"/>
      <c r="F75" s="121">
        <f t="shared" si="4"/>
        <v>90510920.297499999</v>
      </c>
      <c r="G75" s="121">
        <f t="shared" si="4"/>
        <v>8138964.0709979385</v>
      </c>
      <c r="H75" s="121"/>
      <c r="I75" s="121">
        <f t="shared" si="5"/>
        <v>62566382.532083333</v>
      </c>
      <c r="J75" s="121">
        <f t="shared" si="5"/>
        <v>15580693.620970644</v>
      </c>
      <c r="K75" s="68"/>
    </row>
    <row r="76" spans="1:11" x14ac:dyDescent="0.25">
      <c r="A76" s="4" t="s">
        <v>125</v>
      </c>
      <c r="B76" s="122"/>
      <c r="C76" s="121">
        <f t="shared" si="3"/>
        <v>201323478.38166666</v>
      </c>
      <c r="D76" s="121">
        <f t="shared" si="3"/>
        <v>30403260.657494575</v>
      </c>
      <c r="E76" s="121"/>
      <c r="F76" s="121">
        <f t="shared" si="4"/>
        <v>91468258.889166653</v>
      </c>
      <c r="G76" s="121">
        <f t="shared" si="4"/>
        <v>8444656.2381192688</v>
      </c>
      <c r="H76" s="121"/>
      <c r="I76" s="121">
        <f t="shared" si="5"/>
        <v>62245150.921250008</v>
      </c>
      <c r="J76" s="121">
        <f t="shared" si="5"/>
        <v>15704776.508546665</v>
      </c>
      <c r="K76" s="68"/>
    </row>
    <row r="77" spans="1:11" x14ac:dyDescent="0.25">
      <c r="A77" s="4" t="s">
        <v>124</v>
      </c>
      <c r="B77" s="122"/>
      <c r="C77" s="121">
        <f t="shared" si="3"/>
        <v>203787754.88250002</v>
      </c>
      <c r="D77" s="121">
        <f t="shared" si="3"/>
        <v>31236736.456088882</v>
      </c>
      <c r="E77" s="121"/>
      <c r="F77" s="121">
        <f t="shared" si="4"/>
        <v>92490141.897083327</v>
      </c>
      <c r="G77" s="121">
        <f t="shared" si="4"/>
        <v>8759337.3329634201</v>
      </c>
      <c r="H77" s="121"/>
      <c r="I77" s="121">
        <f t="shared" si="5"/>
        <v>61943724.669166662</v>
      </c>
      <c r="J77" s="121">
        <f t="shared" si="5"/>
        <v>15823962.291957544</v>
      </c>
      <c r="K77" s="68"/>
    </row>
    <row r="78" spans="1:11" x14ac:dyDescent="0.25">
      <c r="A78" s="119" t="s">
        <v>123</v>
      </c>
      <c r="B78" s="110"/>
      <c r="C78" s="123">
        <f t="shared" si="3"/>
        <v>206290372.30333331</v>
      </c>
      <c r="D78" s="123">
        <f t="shared" si="3"/>
        <v>32130835.793408755</v>
      </c>
      <c r="E78" s="123"/>
      <c r="F78" s="123">
        <f t="shared" si="4"/>
        <v>93260014.252916649</v>
      </c>
      <c r="G78" s="123">
        <f t="shared" si="4"/>
        <v>9088616.1431631297</v>
      </c>
      <c r="H78" s="123"/>
      <c r="I78" s="123">
        <f t="shared" si="5"/>
        <v>61659304.40291667</v>
      </c>
      <c r="J78" s="123">
        <f t="shared" si="5"/>
        <v>15939194.343599023</v>
      </c>
      <c r="K78" s="114" t="s">
        <v>84</v>
      </c>
    </row>
    <row r="79" spans="1:11" x14ac:dyDescent="0.25">
      <c r="A79" s="4" t="s">
        <v>210</v>
      </c>
      <c r="B79" s="122"/>
      <c r="C79" s="121">
        <f t="shared" si="3"/>
        <v>208607854.87583327</v>
      </c>
      <c r="D79" s="121">
        <f t="shared" si="3"/>
        <v>33084963.070717186</v>
      </c>
      <c r="E79" s="121"/>
      <c r="F79" s="121">
        <f t="shared" si="4"/>
        <v>93757816.81583333</v>
      </c>
      <c r="G79" s="121">
        <f t="shared" si="4"/>
        <v>9430979.7194856443</v>
      </c>
      <c r="H79" s="121"/>
      <c r="I79" s="121">
        <f t="shared" si="5"/>
        <v>61474116.49333334</v>
      </c>
      <c r="J79" s="121">
        <f t="shared" si="5"/>
        <v>16151214.716644339</v>
      </c>
      <c r="K79" s="68"/>
    </row>
    <row r="80" spans="1:11" x14ac:dyDescent="0.25">
      <c r="A80" s="4" t="s">
        <v>209</v>
      </c>
      <c r="B80" s="122"/>
      <c r="C80" s="121">
        <f t="shared" si="3"/>
        <v>211491500.16166663</v>
      </c>
      <c r="D80" s="121">
        <f t="shared" si="3"/>
        <v>34057296.777142622</v>
      </c>
      <c r="E80" s="121"/>
      <c r="F80" s="121">
        <f t="shared" si="4"/>
        <v>94139936.390416667</v>
      </c>
      <c r="G80" s="121">
        <f t="shared" si="4"/>
        <v>9715962.827596236</v>
      </c>
      <c r="H80" s="121"/>
      <c r="I80" s="121">
        <f t="shared" si="5"/>
        <v>61389492.84958335</v>
      </c>
      <c r="J80" s="121">
        <f t="shared" si="5"/>
        <v>16460830.798370153</v>
      </c>
      <c r="K80" s="68"/>
    </row>
    <row r="81" spans="1:14" x14ac:dyDescent="0.25">
      <c r="A81" s="4" t="s">
        <v>208</v>
      </c>
      <c r="B81" s="122"/>
      <c r="C81" s="121">
        <f t="shared" si="3"/>
        <v>214972343.87166667</v>
      </c>
      <c r="D81" s="121">
        <f t="shared" si="3"/>
        <v>35050337.814100422</v>
      </c>
      <c r="E81" s="121"/>
      <c r="F81" s="121">
        <f t="shared" si="4"/>
        <v>94568832.090416655</v>
      </c>
      <c r="G81" s="121">
        <f t="shared" si="4"/>
        <v>9954243.5658030137</v>
      </c>
      <c r="H81" s="121"/>
      <c r="I81" s="121">
        <f t="shared" si="5"/>
        <v>61286242.481249996</v>
      </c>
      <c r="J81" s="121">
        <f t="shared" si="5"/>
        <v>16768945.921307633</v>
      </c>
      <c r="K81" s="68"/>
    </row>
    <row r="82" spans="1:14" x14ac:dyDescent="0.25">
      <c r="A82" s="4" t="s">
        <v>207</v>
      </c>
      <c r="B82" s="122"/>
      <c r="C82" s="121">
        <f t="shared" si="3"/>
        <v>218230293.37916669</v>
      </c>
      <c r="D82" s="121">
        <f t="shared" si="3"/>
        <v>36059018.464798778</v>
      </c>
      <c r="E82" s="121"/>
      <c r="F82" s="121">
        <f t="shared" si="4"/>
        <v>95020104.294583321</v>
      </c>
      <c r="G82" s="121">
        <f t="shared" si="4"/>
        <v>10207123.317285916</v>
      </c>
      <c r="H82" s="121"/>
      <c r="I82" s="121">
        <f t="shared" si="5"/>
        <v>61192609.552499987</v>
      </c>
      <c r="J82" s="121">
        <f t="shared" si="5"/>
        <v>17075535.451869652</v>
      </c>
      <c r="K82" s="68"/>
    </row>
    <row r="83" spans="1:14" x14ac:dyDescent="0.25">
      <c r="A83" s="4" t="s">
        <v>206</v>
      </c>
      <c r="B83" s="122"/>
      <c r="C83" s="121">
        <f t="shared" si="3"/>
        <v>221231594.38583329</v>
      </c>
      <c r="D83" s="121">
        <f t="shared" si="3"/>
        <v>37082225.837596066</v>
      </c>
      <c r="E83" s="121"/>
      <c r="F83" s="121">
        <f t="shared" si="4"/>
        <v>95427367.542500004</v>
      </c>
      <c r="G83" s="121">
        <f t="shared" si="4"/>
        <v>10465822.045087576</v>
      </c>
      <c r="H83" s="121"/>
      <c r="I83" s="121">
        <f t="shared" si="5"/>
        <v>61157684.915416665</v>
      </c>
      <c r="J83" s="121">
        <f t="shared" si="5"/>
        <v>17380806.443915777</v>
      </c>
      <c r="K83" s="68"/>
    </row>
    <row r="84" spans="1:14" x14ac:dyDescent="0.25">
      <c r="A84" s="4" t="s">
        <v>205</v>
      </c>
      <c r="B84" s="122"/>
      <c r="C84" s="121">
        <f t="shared" si="3"/>
        <v>223976520.90666667</v>
      </c>
      <c r="D84" s="121">
        <f t="shared" si="3"/>
        <v>38156838.134148553</v>
      </c>
      <c r="E84" s="121"/>
      <c r="F84" s="121">
        <f t="shared" si="4"/>
        <v>95741179.699583307</v>
      </c>
      <c r="G84" s="121">
        <f t="shared" si="4"/>
        <v>10744775.652670326</v>
      </c>
      <c r="H84" s="121"/>
      <c r="I84" s="121">
        <f t="shared" si="5"/>
        <v>61148809.581666656</v>
      </c>
      <c r="J84" s="121">
        <f t="shared" si="5"/>
        <v>17696818.93466996</v>
      </c>
      <c r="K84" s="68"/>
    </row>
    <row r="85" spans="1:14" x14ac:dyDescent="0.25">
      <c r="A85" s="4" t="s">
        <v>204</v>
      </c>
      <c r="B85" s="122"/>
      <c r="C85" s="121">
        <f t="shared" si="3"/>
        <v>226537216.99541664</v>
      </c>
      <c r="D85" s="121">
        <f t="shared" si="3"/>
        <v>39243763.867857195</v>
      </c>
      <c r="E85" s="121"/>
      <c r="F85" s="121">
        <f t="shared" si="4"/>
        <v>95938680.117499992</v>
      </c>
      <c r="G85" s="121">
        <f t="shared" si="4"/>
        <v>11012582.40016445</v>
      </c>
      <c r="H85" s="121"/>
      <c r="I85" s="121">
        <f t="shared" si="5"/>
        <v>61022871.520000003</v>
      </c>
      <c r="J85" s="121">
        <f t="shared" si="5"/>
        <v>17891666.393272139</v>
      </c>
      <c r="K85" s="68"/>
    </row>
    <row r="86" spans="1:14" x14ac:dyDescent="0.25">
      <c r="A86" s="4" t="s">
        <v>203</v>
      </c>
      <c r="B86" s="122"/>
      <c r="C86" s="121">
        <f t="shared" si="3"/>
        <v>229111817.85333332</v>
      </c>
      <c r="D86" s="121">
        <f t="shared" si="3"/>
        <v>40304538.882384151</v>
      </c>
      <c r="E86" s="121"/>
      <c r="F86" s="121">
        <f t="shared" si="4"/>
        <v>96164965.996249974</v>
      </c>
      <c r="G86" s="121">
        <f t="shared" si="4"/>
        <v>11256023.315775575</v>
      </c>
      <c r="H86" s="121"/>
      <c r="I86" s="121">
        <f t="shared" si="5"/>
        <v>60780360.248750009</v>
      </c>
      <c r="J86" s="121">
        <f t="shared" si="5"/>
        <v>17951574.774697803</v>
      </c>
      <c r="K86" s="68"/>
    </row>
    <row r="87" spans="1:14" x14ac:dyDescent="0.25">
      <c r="A87" s="4" t="s">
        <v>202</v>
      </c>
      <c r="B87" s="122"/>
      <c r="C87" s="121">
        <f t="shared" si="3"/>
        <v>232965489.32375002</v>
      </c>
      <c r="D87" s="121">
        <f t="shared" si="3"/>
        <v>41380232.845227949</v>
      </c>
      <c r="E87" s="121"/>
      <c r="F87" s="121">
        <f t="shared" si="4"/>
        <v>96422954.58208333</v>
      </c>
      <c r="G87" s="121">
        <f t="shared" si="4"/>
        <v>11504062.773460032</v>
      </c>
      <c r="H87" s="121"/>
      <c r="I87" s="121">
        <f t="shared" si="5"/>
        <v>60539120.624583334</v>
      </c>
      <c r="J87" s="121">
        <f t="shared" si="5"/>
        <v>18006559.629720844</v>
      </c>
      <c r="K87" s="68"/>
    </row>
    <row r="88" spans="1:14" x14ac:dyDescent="0.25">
      <c r="A88" s="4" t="s">
        <v>201</v>
      </c>
      <c r="B88" s="122"/>
      <c r="C88" s="121">
        <f t="shared" si="3"/>
        <v>237991370.86208332</v>
      </c>
      <c r="D88" s="121">
        <f t="shared" si="3"/>
        <v>42476534.748889081</v>
      </c>
      <c r="E88" s="121"/>
      <c r="F88" s="121">
        <f t="shared" si="4"/>
        <v>96683084.245000005</v>
      </c>
      <c r="G88" s="121">
        <f t="shared" si="4"/>
        <v>11752651.177529089</v>
      </c>
      <c r="H88" s="121"/>
      <c r="I88" s="121">
        <f t="shared" si="5"/>
        <v>60293670.067083336</v>
      </c>
      <c r="J88" s="121">
        <f t="shared" si="5"/>
        <v>18056612.79596879</v>
      </c>
      <c r="K88" s="68"/>
    </row>
    <row r="89" spans="1:14" x14ac:dyDescent="0.25">
      <c r="A89" s="4" t="s">
        <v>200</v>
      </c>
      <c r="B89" s="122"/>
      <c r="C89" s="121">
        <f t="shared" si="3"/>
        <v>242710085.08791664</v>
      </c>
      <c r="D89" s="121">
        <f t="shared" si="3"/>
        <v>43595452.227083325</v>
      </c>
      <c r="E89" s="121"/>
      <c r="F89" s="121">
        <f t="shared" si="4"/>
        <v>96926937.046250001</v>
      </c>
      <c r="G89" s="121">
        <f t="shared" si="4"/>
        <v>12002115.974329853</v>
      </c>
      <c r="H89" s="121"/>
      <c r="I89" s="121">
        <f t="shared" si="5"/>
        <v>60048657.653750002</v>
      </c>
      <c r="J89" s="121">
        <f t="shared" si="5"/>
        <v>18101723.802906822</v>
      </c>
      <c r="K89" s="68"/>
    </row>
    <row r="90" spans="1:14" x14ac:dyDescent="0.25">
      <c r="A90" s="119" t="s">
        <v>199</v>
      </c>
      <c r="B90" s="110"/>
      <c r="C90" s="197">
        <f>((C40+C52)+(2*(SUM(C41:C51))))/24</f>
        <v>247192541.08875</v>
      </c>
      <c r="D90" s="197">
        <f t="shared" si="3"/>
        <v>44735724.106249712</v>
      </c>
      <c r="E90" s="197"/>
      <c r="F90" s="197">
        <f t="shared" si="4"/>
        <v>97170259.038333341</v>
      </c>
      <c r="G90" s="197">
        <f t="shared" si="4"/>
        <v>12258490.979941523</v>
      </c>
      <c r="H90" s="197"/>
      <c r="I90" s="197">
        <f t="shared" si="5"/>
        <v>59802956.181250006</v>
      </c>
      <c r="J90" s="197">
        <f t="shared" si="5"/>
        <v>18141900.5225063</v>
      </c>
      <c r="K90" s="68"/>
    </row>
    <row r="91" spans="1:14" x14ac:dyDescent="0.25">
      <c r="A91" s="117"/>
      <c r="B91" s="25"/>
      <c r="C91" s="34"/>
      <c r="D91" s="34"/>
      <c r="E91" s="34"/>
      <c r="F91" s="34"/>
      <c r="G91" s="34"/>
      <c r="H91" s="34"/>
      <c r="I91" s="34"/>
      <c r="J91" s="34"/>
      <c r="L91" s="120" t="s">
        <v>13</v>
      </c>
    </row>
    <row r="92" spans="1:14" x14ac:dyDescent="0.25">
      <c r="A92" s="119" t="s">
        <v>122</v>
      </c>
      <c r="B92" s="116"/>
      <c r="C92" s="118">
        <f t="shared" ref="C92:C104" si="6">$L$92*I54</f>
        <v>29943062.296955496</v>
      </c>
      <c r="D92" s="118">
        <f t="shared" ref="D92:D104" si="7">$L$92*J54</f>
        <v>14427051.537061905</v>
      </c>
      <c r="E92" s="118"/>
      <c r="F92" s="118">
        <f t="shared" ref="F92:F104" si="8">I54*$M$92</f>
        <v>15660139.495544499</v>
      </c>
      <c r="G92" s="118">
        <f t="shared" ref="G92:G104" si="9">J54*$M$92</f>
        <v>7545308.4036354832</v>
      </c>
      <c r="H92" s="118"/>
      <c r="I92" s="118">
        <f t="shared" ref="I92:I127" si="10">-C92-F92</f>
        <v>-45603201.792499997</v>
      </c>
      <c r="J92" s="118">
        <f t="shared" ref="J92:J127" si="11">-D92-G92</f>
        <v>-21972359.940697387</v>
      </c>
      <c r="K92" s="114" t="s">
        <v>84</v>
      </c>
      <c r="L92" s="22">
        <v>0.65659999999999996</v>
      </c>
      <c r="M92" s="22">
        <v>0.34339999999999998</v>
      </c>
    </row>
    <row r="93" spans="1:14" x14ac:dyDescent="0.25">
      <c r="A93" s="4" t="s">
        <v>121</v>
      </c>
      <c r="B93" s="25"/>
      <c r="C93" s="80">
        <f t="shared" si="6"/>
        <v>30568814.88670275</v>
      </c>
      <c r="D93" s="80">
        <f t="shared" si="7"/>
        <v>13444892.264561066</v>
      </c>
      <c r="E93" s="80"/>
      <c r="F93" s="80">
        <f t="shared" si="8"/>
        <v>15987406.38454725</v>
      </c>
      <c r="G93" s="80">
        <f t="shared" si="9"/>
        <v>7031641.7966041276</v>
      </c>
      <c r="H93" s="80"/>
      <c r="I93" s="80">
        <f t="shared" si="10"/>
        <v>-46556221.271250002</v>
      </c>
      <c r="J93" s="80">
        <f t="shared" si="11"/>
        <v>-20476534.061165195</v>
      </c>
      <c r="N93" s="23"/>
    </row>
    <row r="94" spans="1:14" x14ac:dyDescent="0.25">
      <c r="A94" s="4" t="s">
        <v>120</v>
      </c>
      <c r="B94" s="25"/>
      <c r="C94" s="80">
        <f t="shared" si="6"/>
        <v>31218287.758804999</v>
      </c>
      <c r="D94" s="80">
        <f t="shared" si="7"/>
        <v>12435134.19259138</v>
      </c>
      <c r="E94" s="80"/>
      <c r="F94" s="80">
        <f t="shared" si="8"/>
        <v>16327078.916195001</v>
      </c>
      <c r="G94" s="80">
        <f t="shared" si="9"/>
        <v>6503541.0931097781</v>
      </c>
      <c r="H94" s="80"/>
      <c r="I94" s="80">
        <f t="shared" si="10"/>
        <v>-47545366.674999997</v>
      </c>
      <c r="J94" s="80">
        <f t="shared" si="11"/>
        <v>-18938675.285701159</v>
      </c>
    </row>
    <row r="95" spans="1:14" x14ac:dyDescent="0.25">
      <c r="A95" s="4" t="s">
        <v>119</v>
      </c>
      <c r="B95" s="25"/>
      <c r="C95" s="80">
        <f t="shared" si="6"/>
        <v>31802935.372779671</v>
      </c>
      <c r="D95" s="80">
        <f t="shared" si="7"/>
        <v>11397668.246856719</v>
      </c>
      <c r="E95" s="80"/>
      <c r="F95" s="80">
        <f t="shared" si="8"/>
        <v>16632848.01555367</v>
      </c>
      <c r="G95" s="80">
        <f t="shared" si="9"/>
        <v>5960949.2475945745</v>
      </c>
      <c r="H95" s="80"/>
      <c r="I95" s="80">
        <f t="shared" si="10"/>
        <v>-48435783.388333343</v>
      </c>
      <c r="J95" s="80">
        <f t="shared" si="11"/>
        <v>-17358617.494451292</v>
      </c>
    </row>
    <row r="96" spans="1:14" x14ac:dyDescent="0.25">
      <c r="A96" s="4" t="s">
        <v>118</v>
      </c>
      <c r="B96" s="25"/>
      <c r="C96" s="80">
        <f t="shared" si="6"/>
        <v>32321241.298068337</v>
      </c>
      <c r="D96" s="80">
        <f t="shared" si="7"/>
        <v>10332130.754055446</v>
      </c>
      <c r="E96" s="80"/>
      <c r="F96" s="80">
        <f t="shared" si="8"/>
        <v>16903920.593598336</v>
      </c>
      <c r="G96" s="80">
        <f t="shared" si="9"/>
        <v>5403676.0599187333</v>
      </c>
      <c r="H96" s="80"/>
      <c r="I96" s="80">
        <f t="shared" si="10"/>
        <v>-49225161.891666673</v>
      </c>
      <c r="J96" s="80">
        <f t="shared" si="11"/>
        <v>-15735806.813974179</v>
      </c>
    </row>
    <row r="97" spans="1:13" x14ac:dyDescent="0.25">
      <c r="A97" s="4" t="s">
        <v>117</v>
      </c>
      <c r="B97" s="25"/>
      <c r="C97" s="80">
        <f t="shared" si="6"/>
        <v>32824019.941906087</v>
      </c>
      <c r="D97" s="80">
        <f t="shared" si="7"/>
        <v>9238264.5040247515</v>
      </c>
      <c r="E97" s="80"/>
      <c r="F97" s="80">
        <f t="shared" si="8"/>
        <v>17166872.446010586</v>
      </c>
      <c r="G97" s="80">
        <f t="shared" si="9"/>
        <v>4831587.0098722195</v>
      </c>
      <c r="H97" s="80"/>
      <c r="I97" s="80">
        <f t="shared" si="10"/>
        <v>-49990892.387916669</v>
      </c>
      <c r="J97" s="80">
        <f t="shared" si="11"/>
        <v>-14069851.513896972</v>
      </c>
    </row>
    <row r="98" spans="1:13" x14ac:dyDescent="0.25">
      <c r="A98" s="4" t="s">
        <v>116</v>
      </c>
      <c r="B98" s="25"/>
      <c r="C98" s="80">
        <f t="shared" si="6"/>
        <v>33309346.373327501</v>
      </c>
      <c r="D98" s="80">
        <f t="shared" si="7"/>
        <v>8122405.7260006573</v>
      </c>
      <c r="E98" s="80"/>
      <c r="F98" s="80">
        <f t="shared" si="8"/>
        <v>17420696.839172501</v>
      </c>
      <c r="G98" s="80">
        <f t="shared" si="9"/>
        <v>4247995.9279753668</v>
      </c>
      <c r="H98" s="80"/>
      <c r="I98" s="80">
        <f t="shared" si="10"/>
        <v>-50730043.212500006</v>
      </c>
      <c r="J98" s="80">
        <f t="shared" si="11"/>
        <v>-12370401.653976023</v>
      </c>
    </row>
    <row r="99" spans="1:13" x14ac:dyDescent="0.25">
      <c r="A99" s="4" t="s">
        <v>115</v>
      </c>
      <c r="B99" s="25"/>
      <c r="C99" s="80">
        <f t="shared" si="6"/>
        <v>34471585.676724583</v>
      </c>
      <c r="D99" s="80">
        <f t="shared" si="7"/>
        <v>7683000.7417575438</v>
      </c>
      <c r="E99" s="80"/>
      <c r="F99" s="80">
        <f t="shared" si="8"/>
        <v>18028544.808692086</v>
      </c>
      <c r="G99" s="80">
        <f t="shared" si="9"/>
        <v>4018188.3257988738</v>
      </c>
      <c r="H99" s="80"/>
      <c r="I99" s="80">
        <f t="shared" si="10"/>
        <v>-52500130.485416666</v>
      </c>
      <c r="J99" s="80">
        <f t="shared" si="11"/>
        <v>-11701189.067556418</v>
      </c>
    </row>
    <row r="100" spans="1:13" x14ac:dyDescent="0.25">
      <c r="A100" s="4" t="s">
        <v>114</v>
      </c>
      <c r="B100" s="25"/>
      <c r="C100" s="80">
        <f t="shared" si="6"/>
        <v>36313500.216995172</v>
      </c>
      <c r="D100" s="80">
        <f t="shared" si="7"/>
        <v>7932906.9258418931</v>
      </c>
      <c r="E100" s="80"/>
      <c r="F100" s="80">
        <f t="shared" si="8"/>
        <v>18991861.063838169</v>
      </c>
      <c r="G100" s="80">
        <f t="shared" si="9"/>
        <v>4148888.5749834087</v>
      </c>
      <c r="H100" s="80"/>
      <c r="I100" s="80">
        <f t="shared" si="10"/>
        <v>-55305361.280833341</v>
      </c>
      <c r="J100" s="80">
        <f t="shared" si="11"/>
        <v>-12081795.500825301</v>
      </c>
      <c r="K100" s="115"/>
    </row>
    <row r="101" spans="1:13" x14ac:dyDescent="0.25">
      <c r="A101" s="4" t="s">
        <v>113</v>
      </c>
      <c r="B101" s="25"/>
      <c r="C101" s="80">
        <f t="shared" si="6"/>
        <v>38155745.208998658</v>
      </c>
      <c r="D101" s="80">
        <f t="shared" si="7"/>
        <v>8191218.1253474448</v>
      </c>
      <c r="E101" s="80"/>
      <c r="F101" s="80">
        <f t="shared" si="8"/>
        <v>19955350.144334663</v>
      </c>
      <c r="G101" s="80">
        <f t="shared" si="9"/>
        <v>4283984.6241917647</v>
      </c>
      <c r="H101" s="80"/>
      <c r="I101" s="80">
        <f t="shared" si="10"/>
        <v>-58111095.353333324</v>
      </c>
      <c r="J101" s="80">
        <f t="shared" si="11"/>
        <v>-12475202.74953921</v>
      </c>
    </row>
    <row r="102" spans="1:13" x14ac:dyDescent="0.25">
      <c r="A102" s="4" t="s">
        <v>112</v>
      </c>
      <c r="B102" s="25"/>
      <c r="C102" s="80">
        <f t="shared" si="6"/>
        <v>39951200.069450252</v>
      </c>
      <c r="D102" s="80">
        <f t="shared" si="7"/>
        <v>8457791.3377958778</v>
      </c>
      <c r="E102" s="80"/>
      <c r="F102" s="80">
        <f t="shared" si="8"/>
        <v>20894368.114299752</v>
      </c>
      <c r="G102" s="80">
        <f t="shared" si="9"/>
        <v>4423401.6835198058</v>
      </c>
      <c r="H102" s="80"/>
      <c r="I102" s="80">
        <f t="shared" si="10"/>
        <v>-60845568.183750004</v>
      </c>
      <c r="J102" s="80">
        <f t="shared" si="11"/>
        <v>-12881193.021315683</v>
      </c>
    </row>
    <row r="103" spans="1:13" x14ac:dyDescent="0.25">
      <c r="A103" s="4" t="s">
        <v>111</v>
      </c>
      <c r="B103" s="25"/>
      <c r="C103" s="80">
        <f t="shared" si="6"/>
        <v>41687719.952950172</v>
      </c>
      <c r="D103" s="80">
        <f t="shared" si="7"/>
        <v>8734044.0656403974</v>
      </c>
      <c r="E103" s="80"/>
      <c r="F103" s="80">
        <f t="shared" si="8"/>
        <v>21802563.25288317</v>
      </c>
      <c r="G103" s="80">
        <f t="shared" si="9"/>
        <v>4567881.102864624</v>
      </c>
      <c r="H103" s="80"/>
      <c r="I103" s="80">
        <f t="shared" si="10"/>
        <v>-63490283.205833346</v>
      </c>
      <c r="J103" s="80">
        <f t="shared" si="11"/>
        <v>-13301925.16850502</v>
      </c>
    </row>
    <row r="104" spans="1:13" x14ac:dyDescent="0.25">
      <c r="A104" s="4" t="s">
        <v>110</v>
      </c>
      <c r="B104" s="25"/>
      <c r="C104" s="34">
        <f t="shared" si="6"/>
        <v>42556924.961924337</v>
      </c>
      <c r="D104" s="34">
        <f t="shared" si="7"/>
        <v>9016847.6578857452</v>
      </c>
      <c r="E104" s="34"/>
      <c r="F104" s="34">
        <f t="shared" si="8"/>
        <v>22257155.089742336</v>
      </c>
      <c r="G104" s="34">
        <f t="shared" si="9"/>
        <v>4715786.6063325694</v>
      </c>
      <c r="H104" s="34"/>
      <c r="I104" s="34">
        <f t="shared" si="10"/>
        <v>-64814080.051666677</v>
      </c>
      <c r="J104" s="34">
        <f t="shared" si="11"/>
        <v>-13732634.264218315</v>
      </c>
      <c r="K104" s="68"/>
    </row>
    <row r="105" spans="1:13" x14ac:dyDescent="0.25">
      <c r="A105" s="4" t="s">
        <v>109</v>
      </c>
      <c r="B105" s="25"/>
      <c r="C105" s="34">
        <f>$L$106*I67</f>
        <v>42419914.114684336</v>
      </c>
      <c r="D105" s="34">
        <f>$L$106*J67</f>
        <v>9220764.4429820906</v>
      </c>
      <c r="E105" s="34"/>
      <c r="F105" s="34">
        <f>I67*$M$106</f>
        <v>22284042.741149005</v>
      </c>
      <c r="G105" s="34">
        <f>J67*$M$106</f>
        <v>4843854.9026281759</v>
      </c>
      <c r="H105" s="34"/>
      <c r="I105" s="34">
        <f t="shared" si="10"/>
        <v>-64703956.855833337</v>
      </c>
      <c r="J105" s="34">
        <f t="shared" si="11"/>
        <v>-14064619.345610267</v>
      </c>
      <c r="K105" s="68"/>
      <c r="L105" s="120" t="s">
        <v>13</v>
      </c>
    </row>
    <row r="106" spans="1:13" x14ac:dyDescent="0.25">
      <c r="A106" s="4" t="s">
        <v>108</v>
      </c>
      <c r="B106" s="25"/>
      <c r="C106" s="34">
        <f t="shared" ref="C106:D106" si="12">$L$106*I68</f>
        <v>42257699.99472817</v>
      </c>
      <c r="D106" s="34">
        <f t="shared" si="12"/>
        <v>9370651.7255576327</v>
      </c>
      <c r="E106" s="34"/>
      <c r="F106" s="34">
        <f t="shared" ref="F106:G106" si="13">I68*$M$106</f>
        <v>22198828.3681885</v>
      </c>
      <c r="G106" s="34">
        <f t="shared" si="13"/>
        <v>4922593.7374649914</v>
      </c>
      <c r="H106" s="34"/>
      <c r="I106" s="34">
        <f t="shared" si="10"/>
        <v>-64456528.362916671</v>
      </c>
      <c r="J106" s="34">
        <f t="shared" si="11"/>
        <v>-14293245.463022623</v>
      </c>
      <c r="K106" s="68"/>
      <c r="L106" s="22">
        <v>0.65559999999999996</v>
      </c>
      <c r="M106" s="22">
        <v>0.34439999999999998</v>
      </c>
    </row>
    <row r="107" spans="1:13" x14ac:dyDescent="0.25">
      <c r="A107" s="4" t="s">
        <v>107</v>
      </c>
      <c r="B107" s="25"/>
      <c r="C107" s="34">
        <f t="shared" ref="C107:D107" si="14">$L$106*I69</f>
        <v>42106942.693198167</v>
      </c>
      <c r="D107" s="34">
        <f t="shared" si="14"/>
        <v>9518074.6296444703</v>
      </c>
      <c r="E107" s="34"/>
      <c r="F107" s="34">
        <f t="shared" ref="F107:G107" si="15">I69*$M$106</f>
        <v>22119632.494718503</v>
      </c>
      <c r="G107" s="34">
        <f t="shared" si="15"/>
        <v>5000037.984212257</v>
      </c>
      <c r="H107" s="34"/>
      <c r="I107" s="34">
        <f t="shared" si="10"/>
        <v>-64226575.187916666</v>
      </c>
      <c r="J107" s="34">
        <f t="shared" si="11"/>
        <v>-14518112.613856727</v>
      </c>
      <c r="K107" s="68"/>
    </row>
    <row r="108" spans="1:13" x14ac:dyDescent="0.25">
      <c r="A108" s="4" t="s">
        <v>106</v>
      </c>
      <c r="B108" s="25"/>
      <c r="C108" s="34">
        <f t="shared" ref="C108:D108" si="16">$L$106*I70</f>
        <v>41955866.408941843</v>
      </c>
      <c r="D108" s="34">
        <f t="shared" si="16"/>
        <v>9663063.2898541559</v>
      </c>
      <c r="E108" s="34"/>
      <c r="F108" s="34">
        <f t="shared" ref="F108:G108" si="17">I70*$M$106</f>
        <v>22040269.053141505</v>
      </c>
      <c r="G108" s="34">
        <f t="shared" si="17"/>
        <v>5076203.4731936716</v>
      </c>
      <c r="H108" s="34"/>
      <c r="I108" s="34">
        <f t="shared" si="10"/>
        <v>-63996135.462083347</v>
      </c>
      <c r="J108" s="34">
        <f t="shared" si="11"/>
        <v>-14739266.763047827</v>
      </c>
      <c r="K108" s="68"/>
    </row>
    <row r="109" spans="1:13" x14ac:dyDescent="0.25">
      <c r="A109" s="4" t="s">
        <v>105</v>
      </c>
      <c r="B109" s="25"/>
      <c r="C109" s="34">
        <f t="shared" ref="C109:D109" si="18">$L$106*I71</f>
        <v>41791458.835500002</v>
      </c>
      <c r="D109" s="34">
        <f t="shared" si="18"/>
        <v>9805592.5294170063</v>
      </c>
      <c r="E109" s="34"/>
      <c r="F109" s="34">
        <f t="shared" ref="F109:G109" si="19">I71*$M$106</f>
        <v>21953902.414500002</v>
      </c>
      <c r="G109" s="34">
        <f t="shared" si="19"/>
        <v>5151076.9785405993</v>
      </c>
      <c r="H109" s="34"/>
      <c r="I109" s="34">
        <f t="shared" si="10"/>
        <v>-63745361.25</v>
      </c>
      <c r="J109" s="34">
        <f t="shared" si="11"/>
        <v>-14956669.507957606</v>
      </c>
      <c r="K109" s="68"/>
    </row>
    <row r="110" spans="1:13" x14ac:dyDescent="0.25">
      <c r="A110" s="4" t="s">
        <v>104</v>
      </c>
      <c r="B110" s="25"/>
      <c r="C110" s="34">
        <f t="shared" ref="C110:D110" si="20">$L$106*I72</f>
        <v>41631836.527433172</v>
      </c>
      <c r="D110" s="34">
        <f t="shared" si="20"/>
        <v>9940255.5435690545</v>
      </c>
      <c r="E110" s="34"/>
      <c r="F110" s="34">
        <f t="shared" ref="F110:G110" si="21">I72*$M$106</f>
        <v>21870049.572983503</v>
      </c>
      <c r="G110" s="34">
        <f t="shared" si="21"/>
        <v>5221818.1958590336</v>
      </c>
      <c r="H110" s="34"/>
      <c r="I110" s="34">
        <f t="shared" si="10"/>
        <v>-63501886.100416675</v>
      </c>
      <c r="J110" s="34">
        <f t="shared" si="11"/>
        <v>-15162073.739428088</v>
      </c>
      <c r="K110" s="68"/>
    </row>
    <row r="111" spans="1:13" x14ac:dyDescent="0.25">
      <c r="A111" s="4" t="s">
        <v>103</v>
      </c>
      <c r="B111" s="25"/>
      <c r="C111" s="34">
        <f t="shared" ref="C111:D111" si="22">$L$106*I73</f>
        <v>41446791.053888008</v>
      </c>
      <c r="D111" s="34">
        <f t="shared" si="22"/>
        <v>10047332.670955652</v>
      </c>
      <c r="E111" s="34"/>
      <c r="F111" s="34">
        <f t="shared" ref="F111:G111" si="23">I73*$M$106</f>
        <v>21772841.426112007</v>
      </c>
      <c r="G111" s="34">
        <f t="shared" si="23"/>
        <v>5278067.9863897599</v>
      </c>
      <c r="H111" s="34"/>
      <c r="I111" s="34">
        <f t="shared" si="10"/>
        <v>-63219632.480000019</v>
      </c>
      <c r="J111" s="34">
        <f t="shared" si="11"/>
        <v>-15325400.657345412</v>
      </c>
      <c r="K111" s="68"/>
    </row>
    <row r="112" spans="1:13" x14ac:dyDescent="0.25">
      <c r="A112" s="4" t="s">
        <v>102</v>
      </c>
      <c r="B112" s="25"/>
      <c r="C112" s="34">
        <f t="shared" ref="C112:D112" si="24">$L$106*I74</f>
        <v>41233233.029618666</v>
      </c>
      <c r="D112" s="34">
        <f t="shared" si="24"/>
        <v>10131803.977235485</v>
      </c>
      <c r="E112" s="34"/>
      <c r="F112" s="34">
        <f t="shared" ref="F112:G112" si="25">I74*$M$106</f>
        <v>21660655.057048</v>
      </c>
      <c r="G112" s="34">
        <f t="shared" si="25"/>
        <v>5322442.479804608</v>
      </c>
      <c r="H112" s="34"/>
      <c r="I112" s="34">
        <f t="shared" si="10"/>
        <v>-62893888.086666666</v>
      </c>
      <c r="J112" s="34">
        <f t="shared" si="11"/>
        <v>-15454246.457040094</v>
      </c>
      <c r="K112" s="68"/>
    </row>
    <row r="113" spans="1:13" x14ac:dyDescent="0.25">
      <c r="A113" s="4" t="s">
        <v>101</v>
      </c>
      <c r="B113" s="25"/>
      <c r="C113" s="34">
        <f t="shared" ref="C113:D113" si="26">$L$106*I75</f>
        <v>41018520.38803383</v>
      </c>
      <c r="D113" s="34">
        <f t="shared" si="26"/>
        <v>10214702.737908354</v>
      </c>
      <c r="E113" s="34"/>
      <c r="F113" s="34">
        <f t="shared" ref="F113:G113" si="27">I75*$M$106</f>
        <v>21547862.144049499</v>
      </c>
      <c r="G113" s="34">
        <f t="shared" si="27"/>
        <v>5365990.88306229</v>
      </c>
      <c r="H113" s="34"/>
      <c r="I113" s="34">
        <f t="shared" si="10"/>
        <v>-62566382.532083333</v>
      </c>
      <c r="J113" s="34">
        <f t="shared" si="11"/>
        <v>-15580693.620970644</v>
      </c>
      <c r="K113" s="68"/>
    </row>
    <row r="114" spans="1:13" x14ac:dyDescent="0.25">
      <c r="A114" s="4" t="s">
        <v>100</v>
      </c>
      <c r="B114" s="25"/>
      <c r="C114" s="34">
        <f t="shared" ref="C114:D114" si="28">$L$106*I76</f>
        <v>40807920.9439715</v>
      </c>
      <c r="D114" s="34">
        <f t="shared" si="28"/>
        <v>10296051.479003193</v>
      </c>
      <c r="E114" s="34"/>
      <c r="F114" s="34">
        <f t="shared" ref="F114:G114" si="29">I76*$M$106</f>
        <v>21437229.977278501</v>
      </c>
      <c r="G114" s="34">
        <f t="shared" si="29"/>
        <v>5408725.0295434715</v>
      </c>
      <c r="H114" s="34"/>
      <c r="I114" s="34">
        <f t="shared" si="10"/>
        <v>-62245150.921250001</v>
      </c>
      <c r="J114" s="34">
        <f t="shared" si="11"/>
        <v>-15704776.508546665</v>
      </c>
      <c r="K114" s="68"/>
    </row>
    <row r="115" spans="1:13" x14ac:dyDescent="0.25">
      <c r="A115" s="4" t="s">
        <v>99</v>
      </c>
      <c r="B115" s="25"/>
      <c r="C115" s="34">
        <f t="shared" ref="C115:D115" si="30">$L$106*I77</f>
        <v>40610305.893105663</v>
      </c>
      <c r="D115" s="34">
        <f t="shared" si="30"/>
        <v>10374189.678607365</v>
      </c>
      <c r="E115" s="34"/>
      <c r="F115" s="34">
        <f t="shared" ref="F115:G115" si="31">I77*$M$106</f>
        <v>21333418.776060998</v>
      </c>
      <c r="G115" s="34">
        <f t="shared" si="31"/>
        <v>5449772.6133501781</v>
      </c>
      <c r="H115" s="34"/>
      <c r="I115" s="34">
        <f t="shared" si="10"/>
        <v>-61943724.669166662</v>
      </c>
      <c r="J115" s="34">
        <f t="shared" si="11"/>
        <v>-15823962.291957542</v>
      </c>
      <c r="K115" s="68"/>
    </row>
    <row r="116" spans="1:13" x14ac:dyDescent="0.25">
      <c r="A116" s="4" t="s">
        <v>98</v>
      </c>
      <c r="B116" s="25"/>
      <c r="C116" s="34">
        <f t="shared" ref="C116:D116" si="32">$L$106*I78</f>
        <v>40423839.966552168</v>
      </c>
      <c r="D116" s="34">
        <f t="shared" si="32"/>
        <v>10449735.81166352</v>
      </c>
      <c r="E116" s="34"/>
      <c r="F116" s="34">
        <f t="shared" ref="F116:G116" si="33">I78*$M$106</f>
        <v>21235464.436364502</v>
      </c>
      <c r="G116" s="34">
        <f t="shared" si="33"/>
        <v>5489458.5319355037</v>
      </c>
      <c r="H116" s="34"/>
      <c r="I116" s="34">
        <f t="shared" si="10"/>
        <v>-61659304.40291667</v>
      </c>
      <c r="J116" s="34">
        <f t="shared" si="11"/>
        <v>-15939194.343599023</v>
      </c>
      <c r="K116" s="68"/>
    </row>
    <row r="117" spans="1:13" x14ac:dyDescent="0.25">
      <c r="A117" s="4" t="s">
        <v>198</v>
      </c>
      <c r="B117" s="25"/>
      <c r="C117" s="34">
        <f>$L$118*I79</f>
        <v>40738897.000132002</v>
      </c>
      <c r="D117" s="34">
        <f>$L$118*J79</f>
        <v>10703409.992720203</v>
      </c>
      <c r="E117" s="34"/>
      <c r="F117" s="34">
        <f>I79*$M$118</f>
        <v>20735219.493201334</v>
      </c>
      <c r="G117" s="34">
        <f t="shared" ref="G117:G127" si="34">J79*$M$118</f>
        <v>5447804.7239241358</v>
      </c>
      <c r="H117" s="34"/>
      <c r="I117" s="34">
        <f t="shared" si="10"/>
        <v>-61474116.49333334</v>
      </c>
      <c r="J117" s="34">
        <f t="shared" si="11"/>
        <v>-16151214.716644339</v>
      </c>
      <c r="K117" s="68"/>
      <c r="L117" s="120" t="s">
        <v>13</v>
      </c>
    </row>
    <row r="118" spans="1:13" x14ac:dyDescent="0.25">
      <c r="A118" s="4" t="s">
        <v>197</v>
      </c>
      <c r="B118" s="25"/>
      <c r="C118" s="34">
        <f t="shared" ref="C118:C127" si="35">$L$118*I80</f>
        <v>40682816.911418885</v>
      </c>
      <c r="D118" s="34">
        <f t="shared" ref="D118:D127" si="36">$L$118*J80</f>
        <v>10908592.5700799</v>
      </c>
      <c r="E118" s="34"/>
      <c r="F118" s="34">
        <f t="shared" ref="F118:F127" si="37">I80*$M$118</f>
        <v>20706675.938164465</v>
      </c>
      <c r="G118" s="34">
        <f t="shared" si="34"/>
        <v>5552238.2282902524</v>
      </c>
      <c r="H118" s="34"/>
      <c r="I118" s="34">
        <f t="shared" si="10"/>
        <v>-61389492.84958335</v>
      </c>
      <c r="J118" s="34">
        <f t="shared" si="11"/>
        <v>-16460830.798370153</v>
      </c>
      <c r="K118" s="68"/>
      <c r="L118" s="22">
        <f>+[6]Lead!$E$35</f>
        <v>0.66269999999999996</v>
      </c>
      <c r="M118" s="22">
        <f>+[6]Lead!$F$35</f>
        <v>0.33729999999999999</v>
      </c>
    </row>
    <row r="119" spans="1:13" x14ac:dyDescent="0.25">
      <c r="A119" s="4" t="s">
        <v>196</v>
      </c>
      <c r="B119" s="25"/>
      <c r="C119" s="34">
        <f t="shared" si="35"/>
        <v>40614392.892324366</v>
      </c>
      <c r="D119" s="34">
        <f t="shared" si="36"/>
        <v>11112780.462050568</v>
      </c>
      <c r="E119" s="34"/>
      <c r="F119" s="34">
        <f t="shared" si="37"/>
        <v>20671849.588925622</v>
      </c>
      <c r="G119" s="34">
        <f t="shared" si="34"/>
        <v>5656165.4592570644</v>
      </c>
      <c r="H119" s="34"/>
      <c r="I119" s="34">
        <f t="shared" si="10"/>
        <v>-61286242.481249988</v>
      </c>
      <c r="J119" s="34">
        <f t="shared" si="11"/>
        <v>-16768945.921307633</v>
      </c>
      <c r="K119" s="68"/>
    </row>
    <row r="120" spans="1:13" x14ac:dyDescent="0.25">
      <c r="A120" s="4" t="s">
        <v>195</v>
      </c>
      <c r="B120" s="25"/>
      <c r="C120" s="34">
        <f t="shared" si="35"/>
        <v>40552342.350441739</v>
      </c>
      <c r="D120" s="34">
        <f t="shared" si="36"/>
        <v>11315957.343954017</v>
      </c>
      <c r="E120" s="34"/>
      <c r="F120" s="34">
        <f t="shared" si="37"/>
        <v>20640267.202058244</v>
      </c>
      <c r="G120" s="34">
        <f t="shared" si="34"/>
        <v>5759578.1079156334</v>
      </c>
      <c r="H120" s="34"/>
      <c r="I120" s="34">
        <f t="shared" si="10"/>
        <v>-61192609.55249998</v>
      </c>
      <c r="J120" s="34">
        <f t="shared" si="11"/>
        <v>-17075535.451869652</v>
      </c>
      <c r="K120" s="68"/>
    </row>
    <row r="121" spans="1:13" x14ac:dyDescent="0.25">
      <c r="A121" s="4" t="s">
        <v>194</v>
      </c>
      <c r="B121" s="25"/>
      <c r="C121" s="34">
        <f t="shared" si="35"/>
        <v>40529197.793446623</v>
      </c>
      <c r="D121" s="34">
        <f t="shared" si="36"/>
        <v>11518260.430382984</v>
      </c>
      <c r="E121" s="34"/>
      <c r="F121" s="34">
        <f t="shared" si="37"/>
        <v>20628487.121970039</v>
      </c>
      <c r="G121" s="34">
        <f t="shared" si="34"/>
        <v>5862546.0135327913</v>
      </c>
      <c r="H121" s="34"/>
      <c r="I121" s="34">
        <f t="shared" si="10"/>
        <v>-61157684.915416658</v>
      </c>
      <c r="J121" s="34">
        <f t="shared" si="11"/>
        <v>-17380806.443915777</v>
      </c>
      <c r="K121" s="68"/>
    </row>
    <row r="122" spans="1:13" x14ac:dyDescent="0.25">
      <c r="A122" s="4" t="s">
        <v>193</v>
      </c>
      <c r="B122" s="25"/>
      <c r="C122" s="34">
        <f>$L$118*I84</f>
        <v>40523316.109770492</v>
      </c>
      <c r="D122" s="34">
        <f>$L$118*J84</f>
        <v>11727681.908005781</v>
      </c>
      <c r="E122" s="34"/>
      <c r="F122" s="34">
        <f>I84*$M$118</f>
        <v>20625493.471896164</v>
      </c>
      <c r="G122" s="34">
        <f>J84*$M$118</f>
        <v>5969137.026664177</v>
      </c>
      <c r="H122" s="34"/>
      <c r="I122" s="34">
        <f t="shared" si="10"/>
        <v>-61148809.581666656</v>
      </c>
      <c r="J122" s="34">
        <f t="shared" si="11"/>
        <v>-17696818.934669957</v>
      </c>
      <c r="K122" s="68"/>
    </row>
    <row r="123" spans="1:13" x14ac:dyDescent="0.25">
      <c r="A123" s="4" t="s">
        <v>192</v>
      </c>
      <c r="B123" s="25"/>
      <c r="C123" s="34">
        <f t="shared" si="35"/>
        <v>40439856.956303999</v>
      </c>
      <c r="D123" s="34">
        <f t="shared" si="36"/>
        <v>11856807.318821445</v>
      </c>
      <c r="E123" s="34"/>
      <c r="F123" s="34">
        <f t="shared" si="37"/>
        <v>20583014.563696001</v>
      </c>
      <c r="G123" s="34">
        <f t="shared" si="34"/>
        <v>6034859.0744506922</v>
      </c>
      <c r="H123" s="34"/>
      <c r="I123" s="34">
        <f t="shared" si="10"/>
        <v>-61022871.519999996</v>
      </c>
      <c r="J123" s="34">
        <f t="shared" si="11"/>
        <v>-17891666.393272139</v>
      </c>
      <c r="K123" s="68"/>
    </row>
    <row r="124" spans="1:13" x14ac:dyDescent="0.25">
      <c r="A124" s="4" t="s">
        <v>191</v>
      </c>
      <c r="B124" s="25"/>
      <c r="C124" s="34">
        <f t="shared" si="35"/>
        <v>40279144.736846626</v>
      </c>
      <c r="D124" s="34">
        <f t="shared" si="36"/>
        <v>11896508.603192233</v>
      </c>
      <c r="E124" s="34"/>
      <c r="F124" s="34">
        <f t="shared" si="37"/>
        <v>20501215.511903375</v>
      </c>
      <c r="G124" s="34">
        <f t="shared" si="34"/>
        <v>6055066.1715055685</v>
      </c>
      <c r="H124" s="34"/>
      <c r="I124" s="34">
        <f t="shared" si="10"/>
        <v>-60780360.248750001</v>
      </c>
      <c r="J124" s="34">
        <f t="shared" si="11"/>
        <v>-17951574.774697803</v>
      </c>
      <c r="K124" s="68"/>
    </row>
    <row r="125" spans="1:13" x14ac:dyDescent="0.25">
      <c r="A125" s="4" t="s">
        <v>190</v>
      </c>
      <c r="B125" s="25"/>
      <c r="C125" s="34">
        <f t="shared" si="35"/>
        <v>40119275.237911373</v>
      </c>
      <c r="D125" s="34">
        <f t="shared" si="36"/>
        <v>11932947.066616002</v>
      </c>
      <c r="E125" s="34"/>
      <c r="F125" s="34">
        <f t="shared" si="37"/>
        <v>20419845.386671957</v>
      </c>
      <c r="G125" s="34">
        <f t="shared" si="34"/>
        <v>6073612.5631048409</v>
      </c>
      <c r="H125" s="34"/>
      <c r="I125" s="34">
        <f t="shared" si="10"/>
        <v>-60539120.624583334</v>
      </c>
      <c r="J125" s="34">
        <f t="shared" si="11"/>
        <v>-18006559.629720844</v>
      </c>
      <c r="K125" s="68"/>
    </row>
    <row r="126" spans="1:13" x14ac:dyDescent="0.25">
      <c r="A126" s="4" t="s">
        <v>189</v>
      </c>
      <c r="B126" s="25"/>
      <c r="C126" s="34">
        <f t="shared" si="35"/>
        <v>39956615.153456122</v>
      </c>
      <c r="D126" s="34">
        <f t="shared" si="36"/>
        <v>11966117.299888516</v>
      </c>
      <c r="E126" s="34"/>
      <c r="F126" s="34">
        <f t="shared" si="37"/>
        <v>20337054.913627207</v>
      </c>
      <c r="G126" s="34">
        <f t="shared" si="34"/>
        <v>6090495.4960802728</v>
      </c>
      <c r="H126" s="34"/>
      <c r="I126" s="34">
        <f t="shared" si="10"/>
        <v>-60293670.067083329</v>
      </c>
      <c r="J126" s="34">
        <f t="shared" si="11"/>
        <v>-18056612.79596879</v>
      </c>
      <c r="K126" s="68"/>
    </row>
    <row r="127" spans="1:13" x14ac:dyDescent="0.25">
      <c r="A127" s="4" t="s">
        <v>188</v>
      </c>
      <c r="B127" s="25"/>
      <c r="C127" s="34">
        <f t="shared" si="35"/>
        <v>39794245.427140124</v>
      </c>
      <c r="D127" s="34">
        <f t="shared" si="36"/>
        <v>11996012.36418635</v>
      </c>
      <c r="E127" s="34"/>
      <c r="F127" s="34">
        <f t="shared" si="37"/>
        <v>20254412.226609875</v>
      </c>
      <c r="G127" s="34">
        <f t="shared" si="34"/>
        <v>6105711.4387204712</v>
      </c>
      <c r="H127" s="34"/>
      <c r="I127" s="34">
        <f t="shared" si="10"/>
        <v>-60048657.653750002</v>
      </c>
      <c r="J127" s="34">
        <f t="shared" si="11"/>
        <v>-18101723.802906822</v>
      </c>
      <c r="K127" s="68"/>
    </row>
    <row r="128" spans="1:13" x14ac:dyDescent="0.25">
      <c r="A128" s="4" t="s">
        <v>187</v>
      </c>
      <c r="B128" s="25"/>
      <c r="C128" s="80">
        <f>$L$118*I90</f>
        <v>39631419.061314374</v>
      </c>
      <c r="D128" s="34">
        <f>$L$118*J90</f>
        <v>12022637.476264924</v>
      </c>
      <c r="E128" s="34"/>
      <c r="F128" s="34">
        <f>I90*$M$118</f>
        <v>20171537.119935628</v>
      </c>
      <c r="G128" s="34">
        <f>J90*$M$118</f>
        <v>6119263.0462413747</v>
      </c>
      <c r="H128" s="34"/>
      <c r="I128" s="34">
        <f>-C128-F128</f>
        <v>-59802956.181250006</v>
      </c>
      <c r="J128" s="34">
        <f>-D128-G128</f>
        <v>-18141900.522506297</v>
      </c>
      <c r="K128" s="68"/>
    </row>
    <row r="129" spans="1:11" x14ac:dyDescent="0.25">
      <c r="A129" s="117"/>
      <c r="B129" s="25"/>
      <c r="C129" s="34"/>
      <c r="D129" s="34"/>
      <c r="E129" s="34"/>
      <c r="F129" s="34"/>
      <c r="G129" s="34"/>
      <c r="H129" s="34"/>
      <c r="I129" s="34"/>
      <c r="J129" s="34"/>
    </row>
    <row r="130" spans="1:11" ht="15.75" thickBot="1" x14ac:dyDescent="0.3">
      <c r="A130" s="111" t="s">
        <v>97</v>
      </c>
      <c r="B130" s="116"/>
      <c r="C130" s="109">
        <f t="shared" ref="C130:D149" si="38">C54+C92</f>
        <v>180023261.47153881</v>
      </c>
      <c r="D130" s="109">
        <f t="shared" si="38"/>
        <v>28264357.629861902</v>
      </c>
      <c r="E130" s="109"/>
      <c r="F130" s="109">
        <f t="shared" ref="F130:G149" si="39">F54+F92</f>
        <v>81146177.148461148</v>
      </c>
      <c r="G130" s="109">
        <f t="shared" si="39"/>
        <v>11215043.25871814</v>
      </c>
      <c r="H130" s="109"/>
      <c r="I130" s="109">
        <f t="shared" ref="I130:J149" si="40">I54+I92</f>
        <v>0</v>
      </c>
      <c r="J130" s="109">
        <f t="shared" si="40"/>
        <v>0</v>
      </c>
      <c r="K130" s="114" t="s">
        <v>84</v>
      </c>
    </row>
    <row r="131" spans="1:11" ht="16.5" thickTop="1" thickBot="1" x14ac:dyDescent="0.3">
      <c r="A131" s="113" t="s">
        <v>96</v>
      </c>
      <c r="B131" s="25"/>
      <c r="C131" s="112">
        <f t="shared" si="38"/>
        <v>183578610.48878607</v>
      </c>
      <c r="D131" s="112">
        <f t="shared" si="38"/>
        <v>27975955.029887728</v>
      </c>
      <c r="E131" s="112"/>
      <c r="F131" s="112">
        <f t="shared" si="39"/>
        <v>83555851.904130578</v>
      </c>
      <c r="G131" s="112">
        <f t="shared" si="39"/>
        <v>10878205.579928905</v>
      </c>
      <c r="H131" s="112"/>
      <c r="I131" s="196">
        <f t="shared" si="40"/>
        <v>0</v>
      </c>
      <c r="J131" s="196">
        <f t="shared" si="40"/>
        <v>0</v>
      </c>
    </row>
    <row r="132" spans="1:11" ht="16.5" thickTop="1" thickBot="1" x14ac:dyDescent="0.3">
      <c r="A132" s="113" t="s">
        <v>95</v>
      </c>
      <c r="B132" s="27"/>
      <c r="C132" s="112">
        <f t="shared" si="38"/>
        <v>187015215.55963832</v>
      </c>
      <c r="D132" s="112">
        <f t="shared" si="38"/>
        <v>27672838.969649971</v>
      </c>
      <c r="E132" s="112"/>
      <c r="F132" s="112">
        <f t="shared" si="39"/>
        <v>85868223.492445007</v>
      </c>
      <c r="G132" s="112">
        <f t="shared" si="39"/>
        <v>10530569.023762871</v>
      </c>
      <c r="H132" s="112"/>
      <c r="I132" s="196">
        <f t="shared" si="40"/>
        <v>0</v>
      </c>
      <c r="J132" s="196">
        <f t="shared" si="40"/>
        <v>0</v>
      </c>
    </row>
    <row r="133" spans="1:11" ht="16.5" thickTop="1" thickBot="1" x14ac:dyDescent="0.3">
      <c r="A133" s="113" t="s">
        <v>94</v>
      </c>
      <c r="B133" s="27"/>
      <c r="C133" s="112">
        <f t="shared" si="38"/>
        <v>190304161.10652968</v>
      </c>
      <c r="D133" s="112">
        <f t="shared" si="38"/>
        <v>27354624.060609266</v>
      </c>
      <c r="E133" s="112"/>
      <c r="F133" s="112">
        <f t="shared" si="39"/>
        <v>87952720.142636985</v>
      </c>
      <c r="G133" s="112">
        <f t="shared" si="39"/>
        <v>10169496.213150807</v>
      </c>
      <c r="H133" s="112"/>
      <c r="I133" s="112">
        <f t="shared" si="40"/>
        <v>0</v>
      </c>
      <c r="J133" s="112">
        <f t="shared" si="40"/>
        <v>0</v>
      </c>
    </row>
    <row r="134" spans="1:11" ht="16.5" thickTop="1" thickBot="1" x14ac:dyDescent="0.3">
      <c r="A134" s="113" t="s">
        <v>93</v>
      </c>
      <c r="B134" s="27"/>
      <c r="C134" s="112">
        <f t="shared" si="38"/>
        <v>193397541.56306833</v>
      </c>
      <c r="D134" s="112">
        <f t="shared" si="38"/>
        <v>27020482.519177202</v>
      </c>
      <c r="E134" s="112"/>
      <c r="F134" s="112">
        <f t="shared" si="39"/>
        <v>89871983.32693167</v>
      </c>
      <c r="G134" s="112">
        <f t="shared" si="39"/>
        <v>9798808.3414100744</v>
      </c>
      <c r="H134" s="112"/>
      <c r="I134" s="112">
        <f t="shared" si="40"/>
        <v>0</v>
      </c>
      <c r="J134" s="112">
        <f t="shared" si="40"/>
        <v>0</v>
      </c>
    </row>
    <row r="135" spans="1:11" ht="16.5" thickTop="1" thickBot="1" x14ac:dyDescent="0.3">
      <c r="A135" s="113" t="s">
        <v>92</v>
      </c>
      <c r="B135" s="27"/>
      <c r="C135" s="112">
        <f t="shared" si="38"/>
        <v>196314439.33190611</v>
      </c>
      <c r="D135" s="112">
        <f t="shared" si="38"/>
        <v>26669482.876264483</v>
      </c>
      <c r="E135" s="112"/>
      <c r="F135" s="112">
        <f t="shared" si="39"/>
        <v>91740539.753927246</v>
      </c>
      <c r="G135" s="112">
        <f t="shared" si="39"/>
        <v>9421115.3369489554</v>
      </c>
      <c r="H135" s="112"/>
      <c r="I135" s="112">
        <f t="shared" si="40"/>
        <v>0</v>
      </c>
      <c r="J135" s="112">
        <f t="shared" si="40"/>
        <v>0</v>
      </c>
    </row>
    <row r="136" spans="1:11" ht="16.5" thickTop="1" thickBot="1" x14ac:dyDescent="0.3">
      <c r="A136" s="113" t="s">
        <v>91</v>
      </c>
      <c r="B136" s="27"/>
      <c r="C136" s="112">
        <f t="shared" si="38"/>
        <v>198617675.11124417</v>
      </c>
      <c r="D136" s="112">
        <f t="shared" si="38"/>
        <v>26306210.879119173</v>
      </c>
      <c r="E136" s="112"/>
      <c r="F136" s="112">
        <f t="shared" si="39"/>
        <v>93384019.18208915</v>
      </c>
      <c r="G136" s="112">
        <f t="shared" si="39"/>
        <v>9037364.1484595835</v>
      </c>
      <c r="H136" s="112"/>
      <c r="I136" s="112">
        <f t="shared" si="40"/>
        <v>0</v>
      </c>
      <c r="J136" s="112">
        <f t="shared" si="40"/>
        <v>0</v>
      </c>
    </row>
    <row r="137" spans="1:11" ht="16.5" thickTop="1" thickBot="1" x14ac:dyDescent="0.3">
      <c r="A137" s="113" t="s">
        <v>90</v>
      </c>
      <c r="B137" s="27"/>
      <c r="C137" s="112">
        <f t="shared" si="38"/>
        <v>201307759.13214126</v>
      </c>
      <c r="D137" s="112">
        <f t="shared" si="38"/>
        <v>26627091.783066921</v>
      </c>
      <c r="E137" s="112"/>
      <c r="F137" s="112">
        <f t="shared" si="39"/>
        <v>95239155.311608732</v>
      </c>
      <c r="G137" s="112">
        <f t="shared" si="39"/>
        <v>9006252.1504674517</v>
      </c>
      <c r="H137" s="112"/>
      <c r="I137" s="112">
        <f t="shared" si="40"/>
        <v>0</v>
      </c>
      <c r="J137" s="112">
        <f t="shared" si="40"/>
        <v>0</v>
      </c>
    </row>
    <row r="138" spans="1:11" ht="16.5" thickTop="1" thickBot="1" x14ac:dyDescent="0.3">
      <c r="A138" s="113" t="s">
        <v>89</v>
      </c>
      <c r="B138" s="27"/>
      <c r="C138" s="112">
        <f t="shared" si="38"/>
        <v>204987916.05907848</v>
      </c>
      <c r="D138" s="112">
        <f t="shared" si="38"/>
        <v>27645029.871917106</v>
      </c>
      <c r="E138" s="112"/>
      <c r="F138" s="112">
        <f t="shared" si="39"/>
        <v>97413621.485504821</v>
      </c>
      <c r="G138" s="112">
        <f t="shared" si="39"/>
        <v>9332434.6419187896</v>
      </c>
      <c r="H138" s="112"/>
      <c r="I138" s="112">
        <f t="shared" si="40"/>
        <v>0</v>
      </c>
      <c r="J138" s="112">
        <f t="shared" si="40"/>
        <v>0</v>
      </c>
      <c r="K138" s="115"/>
    </row>
    <row r="139" spans="1:11" ht="16.5" thickTop="1" thickBot="1" x14ac:dyDescent="0.3">
      <c r="A139" s="113" t="s">
        <v>88</v>
      </c>
      <c r="B139" s="27"/>
      <c r="C139" s="112">
        <f t="shared" si="38"/>
        <v>208845478.18108198</v>
      </c>
      <c r="D139" s="112">
        <f t="shared" si="38"/>
        <v>28680215.82322824</v>
      </c>
      <c r="E139" s="112"/>
      <c r="F139" s="112">
        <f t="shared" si="39"/>
        <v>99477389.20891799</v>
      </c>
      <c r="G139" s="112">
        <f t="shared" si="39"/>
        <v>9663730.4317214713</v>
      </c>
      <c r="H139" s="112"/>
      <c r="I139" s="112">
        <f t="shared" si="40"/>
        <v>0</v>
      </c>
      <c r="J139" s="112">
        <f t="shared" si="40"/>
        <v>0</v>
      </c>
    </row>
    <row r="140" spans="1:11" ht="16.5" thickTop="1" thickBot="1" x14ac:dyDescent="0.3">
      <c r="A140" s="113" t="s">
        <v>87</v>
      </c>
      <c r="B140" s="27"/>
      <c r="C140" s="112">
        <f t="shared" si="38"/>
        <v>212665059.55486694</v>
      </c>
      <c r="D140" s="112">
        <f t="shared" si="38"/>
        <v>29732939.855645932</v>
      </c>
      <c r="E140" s="112"/>
      <c r="F140" s="112">
        <f t="shared" si="39"/>
        <v>101319542.86013308</v>
      </c>
      <c r="G140" s="112">
        <f t="shared" si="39"/>
        <v>10005636.858842157</v>
      </c>
      <c r="H140" s="112"/>
      <c r="I140" s="112">
        <f t="shared" si="40"/>
        <v>0</v>
      </c>
      <c r="J140" s="112">
        <f t="shared" si="40"/>
        <v>0</v>
      </c>
    </row>
    <row r="141" spans="1:11" ht="16.5" thickTop="1" thickBot="1" x14ac:dyDescent="0.3">
      <c r="A141" s="113" t="s">
        <v>86</v>
      </c>
      <c r="B141" s="27"/>
      <c r="C141" s="112">
        <f t="shared" si="38"/>
        <v>216493848.64170018</v>
      </c>
      <c r="D141" s="112">
        <f t="shared" si="38"/>
        <v>30804810.052518193</v>
      </c>
      <c r="E141" s="112"/>
      <c r="F141" s="112">
        <f t="shared" si="39"/>
        <v>103009102.23913316</v>
      </c>
      <c r="G141" s="112">
        <f t="shared" si="39"/>
        <v>10360922.580988575</v>
      </c>
      <c r="H141" s="112"/>
      <c r="I141" s="112">
        <f t="shared" si="40"/>
        <v>0</v>
      </c>
      <c r="J141" s="112">
        <f t="shared" si="40"/>
        <v>0</v>
      </c>
    </row>
    <row r="142" spans="1:11" ht="16.5" thickTop="1" thickBot="1" x14ac:dyDescent="0.3">
      <c r="A142" s="111" t="s">
        <v>85</v>
      </c>
      <c r="B142" s="110"/>
      <c r="C142" s="109">
        <f t="shared" si="38"/>
        <v>219430371.45025772</v>
      </c>
      <c r="D142" s="109">
        <f t="shared" si="38"/>
        <v>31844753.859865982</v>
      </c>
      <c r="E142" s="109"/>
      <c r="F142" s="109">
        <f t="shared" si="39"/>
        <v>104292323.71140899</v>
      </c>
      <c r="G142" s="109">
        <f t="shared" si="39"/>
        <v>10713779.193823919</v>
      </c>
      <c r="H142" s="109"/>
      <c r="I142" s="109">
        <f t="shared" si="40"/>
        <v>0</v>
      </c>
      <c r="J142" s="109">
        <f t="shared" si="40"/>
        <v>0</v>
      </c>
      <c r="K142" s="114" t="s">
        <v>84</v>
      </c>
    </row>
    <row r="143" spans="1:11" ht="16.5" thickTop="1" thickBot="1" x14ac:dyDescent="0.3">
      <c r="A143" s="113" t="s">
        <v>83</v>
      </c>
      <c r="B143" s="25"/>
      <c r="C143" s="112">
        <f t="shared" si="38"/>
        <v>221353987.07676768</v>
      </c>
      <c r="D143" s="112">
        <f t="shared" si="38"/>
        <v>32767736.764184989</v>
      </c>
      <c r="E143" s="112"/>
      <c r="F143" s="112">
        <f t="shared" si="39"/>
        <v>105152905.48781566</v>
      </c>
      <c r="G143" s="112">
        <f t="shared" si="39"/>
        <v>11040517.236048479</v>
      </c>
      <c r="H143" s="112"/>
      <c r="I143" s="196">
        <f t="shared" si="40"/>
        <v>0</v>
      </c>
      <c r="J143" s="196">
        <f t="shared" si="40"/>
        <v>0</v>
      </c>
    </row>
    <row r="144" spans="1:11" ht="16.5" thickTop="1" thickBot="1" x14ac:dyDescent="0.3">
      <c r="A144" s="113" t="s">
        <v>82</v>
      </c>
      <c r="B144" s="27"/>
      <c r="C144" s="112">
        <f t="shared" si="38"/>
        <v>223317507.09514487</v>
      </c>
      <c r="D144" s="112">
        <f t="shared" si="38"/>
        <v>33642952.900529057</v>
      </c>
      <c r="E144" s="112"/>
      <c r="F144" s="112">
        <f t="shared" si="39"/>
        <v>106057878.70110516</v>
      </c>
      <c r="G144" s="112">
        <f t="shared" si="39"/>
        <v>11333934.803415036</v>
      </c>
      <c r="H144" s="112"/>
      <c r="I144" s="196">
        <f t="shared" si="40"/>
        <v>0</v>
      </c>
      <c r="J144" s="196">
        <f t="shared" si="40"/>
        <v>0</v>
      </c>
    </row>
    <row r="145" spans="1:11" ht="16.5" thickTop="1" thickBot="1" x14ac:dyDescent="0.3">
      <c r="A145" s="113" t="s">
        <v>81</v>
      </c>
      <c r="B145" s="27"/>
      <c r="C145" s="112">
        <f t="shared" si="38"/>
        <v>225258572.92111486</v>
      </c>
      <c r="D145" s="112">
        <f t="shared" si="38"/>
        <v>34522022.472326398</v>
      </c>
      <c r="E145" s="112"/>
      <c r="F145" s="112">
        <f t="shared" si="39"/>
        <v>106960256.58721851</v>
      </c>
      <c r="G145" s="112">
        <f t="shared" si="39"/>
        <v>11634584.940150302</v>
      </c>
      <c r="H145" s="112"/>
      <c r="I145" s="112">
        <f t="shared" si="40"/>
        <v>0</v>
      </c>
      <c r="J145" s="112">
        <f t="shared" si="40"/>
        <v>0</v>
      </c>
    </row>
    <row r="146" spans="1:11" ht="16.5" thickTop="1" thickBot="1" x14ac:dyDescent="0.3">
      <c r="A146" s="113" t="s">
        <v>80</v>
      </c>
      <c r="B146" s="27"/>
      <c r="C146" s="112">
        <f t="shared" si="38"/>
        <v>227376394.9347752</v>
      </c>
      <c r="D146" s="112">
        <f t="shared" si="38"/>
        <v>35409614.824948579</v>
      </c>
      <c r="E146" s="112"/>
      <c r="F146" s="112">
        <f t="shared" si="39"/>
        <v>107766107.24814151</v>
      </c>
      <c r="G146" s="112">
        <f t="shared" si="39"/>
        <v>11937259.141609825</v>
      </c>
      <c r="H146" s="112"/>
      <c r="I146" s="112">
        <f t="shared" si="40"/>
        <v>0</v>
      </c>
      <c r="J146" s="112">
        <f t="shared" si="40"/>
        <v>0</v>
      </c>
    </row>
    <row r="147" spans="1:11" ht="16.5" thickTop="1" thickBot="1" x14ac:dyDescent="0.3">
      <c r="A147" s="113" t="s">
        <v>79</v>
      </c>
      <c r="B147" s="27"/>
      <c r="C147" s="112">
        <f t="shared" si="38"/>
        <v>229769627.22883335</v>
      </c>
      <c r="D147" s="112">
        <f t="shared" si="38"/>
        <v>36306792.911023855</v>
      </c>
      <c r="E147" s="112"/>
      <c r="F147" s="112">
        <f t="shared" si="39"/>
        <v>108643153.52116667</v>
      </c>
      <c r="G147" s="112">
        <f t="shared" si="39"/>
        <v>12247759.368332244</v>
      </c>
      <c r="H147" s="112"/>
      <c r="I147" s="112">
        <f t="shared" si="40"/>
        <v>0</v>
      </c>
      <c r="J147" s="112">
        <f t="shared" si="40"/>
        <v>0</v>
      </c>
    </row>
    <row r="148" spans="1:11" ht="16.5" thickTop="1" thickBot="1" x14ac:dyDescent="0.3">
      <c r="A148" s="113" t="s">
        <v>78</v>
      </c>
      <c r="B148" s="27"/>
      <c r="C148" s="112">
        <f t="shared" si="38"/>
        <v>232458810.8311832</v>
      </c>
      <c r="D148" s="112">
        <f t="shared" si="38"/>
        <v>37171427.744867168</v>
      </c>
      <c r="E148" s="112"/>
      <c r="F148" s="112">
        <f t="shared" si="39"/>
        <v>109600339.37881683</v>
      </c>
      <c r="G148" s="112">
        <f t="shared" si="39"/>
        <v>12550726.476295587</v>
      </c>
      <c r="H148" s="112"/>
      <c r="I148" s="112">
        <f t="shared" si="40"/>
        <v>0</v>
      </c>
      <c r="J148" s="112">
        <f t="shared" si="40"/>
        <v>0</v>
      </c>
    </row>
    <row r="149" spans="1:11" ht="16.5" thickTop="1" thickBot="1" x14ac:dyDescent="0.3">
      <c r="A149" s="113" t="s">
        <v>77</v>
      </c>
      <c r="B149" s="27"/>
      <c r="C149" s="112">
        <f t="shared" si="38"/>
        <v>235258428.28597134</v>
      </c>
      <c r="D149" s="112">
        <f t="shared" si="38"/>
        <v>38022863.418524288</v>
      </c>
      <c r="E149" s="112"/>
      <c r="F149" s="112">
        <f t="shared" si="39"/>
        <v>110525936.94527867</v>
      </c>
      <c r="G149" s="112">
        <f t="shared" si="39"/>
        <v>12851313.78675947</v>
      </c>
      <c r="H149" s="112"/>
      <c r="I149" s="112">
        <f t="shared" si="40"/>
        <v>0</v>
      </c>
      <c r="J149" s="112">
        <f t="shared" si="40"/>
        <v>0</v>
      </c>
    </row>
    <row r="150" spans="1:11" ht="16.5" thickTop="1" thickBot="1" x14ac:dyDescent="0.3">
      <c r="A150" s="113" t="s">
        <v>76</v>
      </c>
      <c r="B150" s="27"/>
      <c r="C150" s="112">
        <f t="shared" ref="C150:D165" si="41">C74+C112</f>
        <v>237814790.72170198</v>
      </c>
      <c r="D150" s="112">
        <f t="shared" si="41"/>
        <v>38903977.233220167</v>
      </c>
      <c r="E150" s="112"/>
      <c r="F150" s="112">
        <f t="shared" ref="F150:G165" si="42">F74+F112</f>
        <v>111315882.69871464</v>
      </c>
      <c r="G150" s="112">
        <f t="shared" si="42"/>
        <v>13169092.886867192</v>
      </c>
      <c r="H150" s="112"/>
      <c r="I150" s="112">
        <f t="shared" ref="I150:J166" si="43">I74+I112</f>
        <v>0</v>
      </c>
      <c r="J150" s="112">
        <f t="shared" si="43"/>
        <v>0</v>
      </c>
    </row>
    <row r="151" spans="1:11" ht="16.5" thickTop="1" thickBot="1" x14ac:dyDescent="0.3">
      <c r="A151" s="113" t="s">
        <v>75</v>
      </c>
      <c r="B151" s="27"/>
      <c r="C151" s="112">
        <f t="shared" si="41"/>
        <v>240032468.2647005</v>
      </c>
      <c r="D151" s="112">
        <f t="shared" si="41"/>
        <v>39796470.253220685</v>
      </c>
      <c r="E151" s="112"/>
      <c r="F151" s="112">
        <f t="shared" si="42"/>
        <v>112058782.44154949</v>
      </c>
      <c r="G151" s="112">
        <f t="shared" si="42"/>
        <v>13504954.954060229</v>
      </c>
      <c r="H151" s="112"/>
      <c r="I151" s="112">
        <f t="shared" si="43"/>
        <v>0</v>
      </c>
      <c r="J151" s="112">
        <f t="shared" si="43"/>
        <v>0</v>
      </c>
    </row>
    <row r="152" spans="1:11" ht="16.5" thickTop="1" thickBot="1" x14ac:dyDescent="0.3">
      <c r="A152" s="113" t="s">
        <v>74</v>
      </c>
      <c r="B152" s="27"/>
      <c r="C152" s="112">
        <f t="shared" si="41"/>
        <v>242131399.32563818</v>
      </c>
      <c r="D152" s="112">
        <f t="shared" si="41"/>
        <v>40699312.136497766</v>
      </c>
      <c r="E152" s="112"/>
      <c r="F152" s="112">
        <f t="shared" si="42"/>
        <v>112905488.86644515</v>
      </c>
      <c r="G152" s="112">
        <f t="shared" si="42"/>
        <v>13853381.267662741</v>
      </c>
      <c r="H152" s="112"/>
      <c r="I152" s="112">
        <f t="shared" si="43"/>
        <v>0</v>
      </c>
      <c r="J152" s="112">
        <f t="shared" si="43"/>
        <v>0</v>
      </c>
    </row>
    <row r="153" spans="1:11" ht="16.5" thickTop="1" thickBot="1" x14ac:dyDescent="0.3">
      <c r="A153" s="113" t="s">
        <v>73</v>
      </c>
      <c r="B153" s="27"/>
      <c r="C153" s="112">
        <f t="shared" si="41"/>
        <v>244398060.77560568</v>
      </c>
      <c r="D153" s="112">
        <f t="shared" si="41"/>
        <v>41610926.134696245</v>
      </c>
      <c r="E153" s="112"/>
      <c r="F153" s="112">
        <f t="shared" si="42"/>
        <v>113823560.67314433</v>
      </c>
      <c r="G153" s="112">
        <f t="shared" si="42"/>
        <v>14209109.946313597</v>
      </c>
      <c r="H153" s="112"/>
      <c r="I153" s="112">
        <f t="shared" si="43"/>
        <v>0</v>
      </c>
      <c r="J153" s="112">
        <f t="shared" si="43"/>
        <v>0</v>
      </c>
    </row>
    <row r="154" spans="1:11" ht="16.5" thickTop="1" thickBot="1" x14ac:dyDescent="0.3">
      <c r="A154" s="111" t="s">
        <v>72</v>
      </c>
      <c r="B154" s="110"/>
      <c r="C154" s="109">
        <f t="shared" si="41"/>
        <v>246714212.26988548</v>
      </c>
      <c r="D154" s="109">
        <f t="shared" si="41"/>
        <v>42580571.605072275</v>
      </c>
      <c r="E154" s="109"/>
      <c r="F154" s="109">
        <f t="shared" si="42"/>
        <v>114495478.68928115</v>
      </c>
      <c r="G154" s="109">
        <f t="shared" si="42"/>
        <v>14578074.675098633</v>
      </c>
      <c r="H154" s="109"/>
      <c r="I154" s="109">
        <f t="shared" si="43"/>
        <v>0</v>
      </c>
      <c r="J154" s="109">
        <f t="shared" si="43"/>
        <v>0</v>
      </c>
      <c r="K154" s="114" t="s">
        <v>84</v>
      </c>
    </row>
    <row r="155" spans="1:11" ht="16.5" thickTop="1" thickBot="1" x14ac:dyDescent="0.3">
      <c r="A155" s="113" t="s">
        <v>186</v>
      </c>
      <c r="B155" s="25"/>
      <c r="C155" s="112">
        <f t="shared" si="41"/>
        <v>249346751.87596527</v>
      </c>
      <c r="D155" s="112">
        <f t="shared" si="41"/>
        <v>43788373.063437387</v>
      </c>
      <c r="E155" s="112"/>
      <c r="F155" s="112">
        <f t="shared" si="42"/>
        <v>114493036.30903466</v>
      </c>
      <c r="G155" s="112">
        <f t="shared" si="42"/>
        <v>14878784.44340978</v>
      </c>
      <c r="H155" s="112"/>
      <c r="I155" s="196">
        <f t="shared" si="43"/>
        <v>0</v>
      </c>
      <c r="J155" s="196">
        <f t="shared" si="43"/>
        <v>0</v>
      </c>
    </row>
    <row r="156" spans="1:11" ht="16.5" thickTop="1" thickBot="1" x14ac:dyDescent="0.3">
      <c r="A156" s="113" t="s">
        <v>185</v>
      </c>
      <c r="B156" s="27"/>
      <c r="C156" s="112">
        <f t="shared" si="41"/>
        <v>252174317.07308552</v>
      </c>
      <c r="D156" s="112">
        <f t="shared" si="41"/>
        <v>44965889.347222522</v>
      </c>
      <c r="E156" s="112"/>
      <c r="F156" s="112">
        <f t="shared" si="42"/>
        <v>114846612.32858112</v>
      </c>
      <c r="G156" s="112">
        <f t="shared" si="42"/>
        <v>15268201.055886488</v>
      </c>
      <c r="H156" s="112"/>
      <c r="I156" s="196">
        <f t="shared" si="43"/>
        <v>0</v>
      </c>
      <c r="J156" s="196">
        <f t="shared" si="43"/>
        <v>0</v>
      </c>
    </row>
    <row r="157" spans="1:11" ht="16.5" thickTop="1" thickBot="1" x14ac:dyDescent="0.3">
      <c r="A157" s="113" t="s">
        <v>184</v>
      </c>
      <c r="B157" s="27"/>
      <c r="C157" s="112">
        <f t="shared" si="41"/>
        <v>255586736.76399103</v>
      </c>
      <c r="D157" s="112">
        <f t="shared" si="41"/>
        <v>46163118.276150987</v>
      </c>
      <c r="E157" s="112"/>
      <c r="F157" s="112">
        <f t="shared" si="42"/>
        <v>115240681.67934227</v>
      </c>
      <c r="G157" s="112">
        <f t="shared" si="42"/>
        <v>15610409.025060078</v>
      </c>
      <c r="H157" s="112"/>
      <c r="I157" s="112">
        <f t="shared" si="43"/>
        <v>0</v>
      </c>
      <c r="J157" s="112">
        <f t="shared" si="43"/>
        <v>0</v>
      </c>
    </row>
    <row r="158" spans="1:11" ht="16.5" thickTop="1" thickBot="1" x14ac:dyDescent="0.3">
      <c r="A158" s="113" t="s">
        <v>183</v>
      </c>
      <c r="B158" s="27"/>
      <c r="C158" s="112">
        <f t="shared" si="41"/>
        <v>258782635.72960842</v>
      </c>
      <c r="D158" s="112">
        <f t="shared" si="41"/>
        <v>47374975.808752798</v>
      </c>
      <c r="E158" s="112"/>
      <c r="F158" s="112">
        <f t="shared" si="42"/>
        <v>115660371.49664156</v>
      </c>
      <c r="G158" s="112">
        <f t="shared" si="42"/>
        <v>15966701.42520155</v>
      </c>
      <c r="H158" s="112"/>
      <c r="I158" s="112">
        <f t="shared" si="43"/>
        <v>0</v>
      </c>
      <c r="J158" s="112">
        <f t="shared" si="43"/>
        <v>0</v>
      </c>
    </row>
    <row r="159" spans="1:11" ht="16.5" thickTop="1" thickBot="1" x14ac:dyDescent="0.3">
      <c r="A159" s="113" t="s">
        <v>182</v>
      </c>
      <c r="B159" s="27"/>
      <c r="C159" s="112">
        <f t="shared" si="41"/>
        <v>261760792.17927992</v>
      </c>
      <c r="D159" s="112">
        <f t="shared" si="41"/>
        <v>48600486.267979048</v>
      </c>
      <c r="E159" s="112"/>
      <c r="F159" s="112">
        <f t="shared" si="42"/>
        <v>116055854.66447005</v>
      </c>
      <c r="G159" s="112">
        <f t="shared" si="42"/>
        <v>16328368.058620367</v>
      </c>
      <c r="H159" s="112"/>
      <c r="I159" s="112">
        <f t="shared" si="43"/>
        <v>0</v>
      </c>
      <c r="J159" s="112">
        <f t="shared" si="43"/>
        <v>0</v>
      </c>
    </row>
    <row r="160" spans="1:11" ht="16.5" thickTop="1" thickBot="1" x14ac:dyDescent="0.3">
      <c r="A160" s="113" t="s">
        <v>181</v>
      </c>
      <c r="B160" s="27"/>
      <c r="C160" s="112">
        <f t="shared" si="41"/>
        <v>264499837.01643717</v>
      </c>
      <c r="D160" s="112">
        <f t="shared" si="41"/>
        <v>49884520.042154334</v>
      </c>
      <c r="E160" s="112"/>
      <c r="F160" s="112">
        <f t="shared" si="42"/>
        <v>116366673.17147946</v>
      </c>
      <c r="G160" s="112">
        <f t="shared" si="42"/>
        <v>16713912.679334503</v>
      </c>
      <c r="H160" s="112"/>
      <c r="I160" s="112">
        <f t="shared" si="43"/>
        <v>0</v>
      </c>
      <c r="J160" s="112">
        <f t="shared" si="43"/>
        <v>0</v>
      </c>
    </row>
    <row r="161" spans="1:10" ht="16.5" thickTop="1" thickBot="1" x14ac:dyDescent="0.3">
      <c r="A161" s="113" t="s">
        <v>180</v>
      </c>
      <c r="B161" s="27"/>
      <c r="C161" s="112">
        <f t="shared" si="41"/>
        <v>266977073.95172065</v>
      </c>
      <c r="D161" s="112">
        <f t="shared" si="41"/>
        <v>51100571.186678641</v>
      </c>
      <c r="E161" s="112">
        <f>E85+E123</f>
        <v>0</v>
      </c>
      <c r="F161" s="112">
        <f t="shared" si="42"/>
        <v>116521694.68119599</v>
      </c>
      <c r="G161" s="112">
        <f t="shared" si="42"/>
        <v>17047441.474615142</v>
      </c>
      <c r="H161" s="112"/>
      <c r="I161" s="112">
        <f t="shared" si="43"/>
        <v>0</v>
      </c>
      <c r="J161" s="112">
        <f t="shared" si="43"/>
        <v>0</v>
      </c>
    </row>
    <row r="162" spans="1:10" ht="16.5" thickTop="1" thickBot="1" x14ac:dyDescent="0.3">
      <c r="A162" s="113" t="s">
        <v>179</v>
      </c>
      <c r="B162" s="27"/>
      <c r="C162" s="112">
        <f t="shared" si="41"/>
        <v>269390962.59017992</v>
      </c>
      <c r="D162" s="112">
        <f t="shared" si="41"/>
        <v>52201047.485576384</v>
      </c>
      <c r="E162" s="112"/>
      <c r="F162" s="112">
        <f t="shared" si="42"/>
        <v>116666181.50815335</v>
      </c>
      <c r="G162" s="112">
        <f t="shared" si="42"/>
        <v>17311089.487281144</v>
      </c>
      <c r="H162" s="112"/>
      <c r="I162" s="112">
        <f t="shared" si="43"/>
        <v>0</v>
      </c>
      <c r="J162" s="112">
        <f t="shared" si="43"/>
        <v>0</v>
      </c>
    </row>
    <row r="163" spans="1:10" ht="16.5" thickTop="1" thickBot="1" x14ac:dyDescent="0.3">
      <c r="A163" s="113" t="s">
        <v>178</v>
      </c>
      <c r="B163" s="27"/>
      <c r="C163" s="112">
        <f t="shared" si="41"/>
        <v>273084764.56166136</v>
      </c>
      <c r="D163" s="112">
        <f t="shared" si="41"/>
        <v>53313179.911843956</v>
      </c>
      <c r="E163" s="112"/>
      <c r="F163" s="112">
        <f t="shared" si="42"/>
        <v>116842799.96875529</v>
      </c>
      <c r="G163" s="112">
        <f t="shared" si="42"/>
        <v>17577675.336564872</v>
      </c>
      <c r="H163" s="112"/>
      <c r="I163" s="112">
        <f t="shared" si="43"/>
        <v>0</v>
      </c>
      <c r="J163" s="112">
        <f t="shared" si="43"/>
        <v>0</v>
      </c>
    </row>
    <row r="164" spans="1:10" ht="16.5" thickTop="1" thickBot="1" x14ac:dyDescent="0.3">
      <c r="A164" s="113" t="s">
        <v>177</v>
      </c>
      <c r="B164" s="27"/>
      <c r="C164" s="112">
        <f t="shared" si="41"/>
        <v>277947986.01553941</v>
      </c>
      <c r="D164" s="112">
        <f t="shared" si="41"/>
        <v>54442652.048777595</v>
      </c>
      <c r="E164" s="112"/>
      <c r="F164" s="112">
        <f t="shared" si="42"/>
        <v>117020139.15862721</v>
      </c>
      <c r="G164" s="112">
        <f t="shared" si="42"/>
        <v>17843146.673609361</v>
      </c>
      <c r="H164" s="112"/>
      <c r="I164" s="112">
        <f t="shared" si="43"/>
        <v>0</v>
      </c>
      <c r="J164" s="112">
        <f t="shared" si="43"/>
        <v>0</v>
      </c>
    </row>
    <row r="165" spans="1:10" ht="16.5" thickTop="1" thickBot="1" x14ac:dyDescent="0.3">
      <c r="A165" s="113" t="s">
        <v>176</v>
      </c>
      <c r="B165" s="27"/>
      <c r="C165" s="112">
        <f t="shared" si="41"/>
        <v>282504330.51505679</v>
      </c>
      <c r="D165" s="112">
        <f t="shared" si="41"/>
        <v>55591464.591269672</v>
      </c>
      <c r="E165" s="112"/>
      <c r="F165" s="112">
        <f t="shared" si="42"/>
        <v>117181349.27285987</v>
      </c>
      <c r="G165" s="112">
        <f t="shared" si="42"/>
        <v>18107827.413050324</v>
      </c>
      <c r="H165" s="112"/>
      <c r="I165" s="112">
        <f t="shared" si="43"/>
        <v>0</v>
      </c>
      <c r="J165" s="112">
        <f t="shared" si="43"/>
        <v>0</v>
      </c>
    </row>
    <row r="166" spans="1:10" ht="16.5" thickTop="1" thickBot="1" x14ac:dyDescent="0.3">
      <c r="A166" s="111" t="s">
        <v>175</v>
      </c>
      <c r="B166" s="110"/>
      <c r="C166" s="109">
        <f>C90+C128</f>
        <v>286823960.15006435</v>
      </c>
      <c r="D166" s="109">
        <f>D90+D128</f>
        <v>56758361.582514636</v>
      </c>
      <c r="E166" s="109"/>
      <c r="F166" s="109">
        <f>F90+F128</f>
        <v>117341796.15826897</v>
      </c>
      <c r="G166" s="109">
        <f>G90+G128</f>
        <v>18377754.026182897</v>
      </c>
      <c r="H166" s="109"/>
      <c r="I166" s="109">
        <f t="shared" si="43"/>
        <v>0</v>
      </c>
      <c r="J166" s="109">
        <f t="shared" si="43"/>
        <v>0</v>
      </c>
    </row>
    <row r="167" spans="1:10" ht="15.75" thickTop="1" x14ac:dyDescent="0.25"/>
    <row r="221" spans="1:8" x14ac:dyDescent="0.25">
      <c r="A221" s="6"/>
      <c r="B221" s="6"/>
      <c r="C221" s="6"/>
      <c r="D221" s="6"/>
      <c r="E221" s="6"/>
      <c r="F221" s="6"/>
      <c r="G221" s="6"/>
      <c r="H221" s="6"/>
    </row>
    <row r="222" spans="1:8" x14ac:dyDescent="0.25">
      <c r="A222" s="6"/>
      <c r="B222" s="6"/>
      <c r="C222" s="6"/>
      <c r="D222" s="6"/>
      <c r="E222" s="6"/>
      <c r="F222" s="6"/>
      <c r="G222" s="6"/>
      <c r="H222" s="6"/>
    </row>
    <row r="223" spans="1:8" x14ac:dyDescent="0.25">
      <c r="A223" s="6"/>
      <c r="B223" s="6"/>
      <c r="C223" s="6"/>
      <c r="D223" s="6"/>
      <c r="E223" s="6"/>
      <c r="F223" s="6"/>
      <c r="G223" s="6"/>
      <c r="H223" s="6"/>
    </row>
    <row r="224" spans="1:8" x14ac:dyDescent="0.25">
      <c r="A224" s="6"/>
      <c r="B224" s="6"/>
      <c r="C224" s="6"/>
      <c r="D224" s="6"/>
      <c r="E224" s="6"/>
      <c r="F224" s="6"/>
      <c r="G224" s="6"/>
      <c r="H224" s="6"/>
    </row>
    <row r="225" spans="1:8" x14ac:dyDescent="0.25">
      <c r="A225" s="6"/>
      <c r="B225" s="6"/>
      <c r="C225" s="6"/>
      <c r="D225" s="6"/>
      <c r="E225" s="6"/>
      <c r="F225" s="6"/>
      <c r="G225" s="6"/>
      <c r="H225" s="6"/>
    </row>
    <row r="226" spans="1:8" x14ac:dyDescent="0.25">
      <c r="A226" s="6"/>
      <c r="B226" s="6"/>
      <c r="C226" s="6"/>
      <c r="D226" s="6"/>
      <c r="E226" s="6"/>
      <c r="F226" s="6"/>
      <c r="G226" s="6"/>
      <c r="H226" s="6"/>
    </row>
    <row r="227" spans="1:8" x14ac:dyDescent="0.25">
      <c r="A227" s="6"/>
      <c r="B227" s="6"/>
      <c r="C227" s="6"/>
      <c r="D227" s="6"/>
      <c r="E227" s="6"/>
      <c r="F227" s="6"/>
      <c r="G227" s="6"/>
      <c r="H227" s="6"/>
    </row>
    <row r="228" spans="1:8" x14ac:dyDescent="0.25">
      <c r="A228" s="6"/>
      <c r="B228" s="6"/>
      <c r="C228" s="6"/>
      <c r="D228" s="6"/>
      <c r="E228" s="6"/>
      <c r="F228" s="6"/>
      <c r="G228" s="6"/>
      <c r="H228" s="6"/>
    </row>
  </sheetData>
  <mergeCells count="3">
    <mergeCell ref="C2:D2"/>
    <mergeCell ref="F2:G2"/>
    <mergeCell ref="I2:J2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pane ySplit="2" topLeftCell="A3" activePane="bottomLeft" state="frozen"/>
      <selection activeCell="D24" sqref="D24"/>
      <selection pane="bottomLeft" activeCell="J26" sqref="J26"/>
    </sheetView>
  </sheetViews>
  <sheetFormatPr defaultRowHeight="15" x14ac:dyDescent="0.25"/>
  <cols>
    <col min="1" max="1" width="35.5703125" style="1" bestFit="1" customWidth="1"/>
    <col min="2" max="2" width="6" style="200" customWidth="1"/>
    <col min="3" max="3" width="15.28515625" style="3" bestFit="1" customWidth="1"/>
    <col min="4" max="4" width="14.28515625" style="3" bestFit="1" customWidth="1"/>
    <col min="5" max="5" width="5.42578125" style="205" customWidth="1"/>
    <col min="6" max="7" width="14.28515625" style="3" bestFit="1" customWidth="1"/>
    <col min="8" max="8" width="5.42578125" style="205" customWidth="1"/>
    <col min="9" max="10" width="14.28515625" style="3" bestFit="1" customWidth="1"/>
    <col min="11" max="16384" width="9.140625" style="1"/>
  </cols>
  <sheetData>
    <row r="1" spans="1:10" x14ac:dyDescent="0.25">
      <c r="A1" s="138" t="s">
        <v>5</v>
      </c>
      <c r="B1" s="137"/>
      <c r="C1" s="216" t="s">
        <v>2</v>
      </c>
      <c r="D1" s="216"/>
      <c r="E1" s="198"/>
      <c r="F1" s="216" t="s">
        <v>3</v>
      </c>
      <c r="G1" s="216"/>
      <c r="H1" s="198"/>
      <c r="I1" s="216" t="s">
        <v>4</v>
      </c>
      <c r="J1" s="216"/>
    </row>
    <row r="2" spans="1:10" x14ac:dyDescent="0.25">
      <c r="A2" s="199">
        <v>45657</v>
      </c>
      <c r="C2" s="201" t="s">
        <v>6</v>
      </c>
      <c r="D2" s="201" t="s">
        <v>7</v>
      </c>
      <c r="E2" s="202"/>
      <c r="F2" s="201" t="s">
        <v>6</v>
      </c>
      <c r="G2" s="201" t="s">
        <v>7</v>
      </c>
      <c r="H2" s="202"/>
      <c r="I2" s="201" t="s">
        <v>6</v>
      </c>
      <c r="J2" s="201" t="s">
        <v>7</v>
      </c>
    </row>
    <row r="3" spans="1:10" x14ac:dyDescent="0.25">
      <c r="A3" s="203" t="s">
        <v>211</v>
      </c>
      <c r="B3" s="204"/>
      <c r="E3" s="202"/>
      <c r="H3" s="202"/>
    </row>
    <row r="4" spans="1:10" x14ac:dyDescent="0.25">
      <c r="A4" s="1" t="s">
        <v>211</v>
      </c>
      <c r="I4" s="3">
        <v>53267638.229999997</v>
      </c>
      <c r="J4" s="3">
        <v>14549307.4591526</v>
      </c>
    </row>
    <row r="5" spans="1:10" x14ac:dyDescent="0.25">
      <c r="A5" s="1" t="s">
        <v>212</v>
      </c>
      <c r="C5" s="3">
        <v>273089797.72000003</v>
      </c>
      <c r="D5" s="3">
        <v>51886881.326156698</v>
      </c>
    </row>
    <row r="6" spans="1:10" x14ac:dyDescent="0.25">
      <c r="A6" s="1" t="s">
        <v>213</v>
      </c>
      <c r="F6" s="3">
        <v>57527084.359999999</v>
      </c>
      <c r="G6" s="3">
        <v>10511170.6453309</v>
      </c>
    </row>
    <row r="7" spans="1:10" x14ac:dyDescent="0.25">
      <c r="A7" s="1" t="s">
        <v>214</v>
      </c>
      <c r="F7" s="3">
        <v>41743342.380000003</v>
      </c>
      <c r="G7" s="3">
        <v>3772609.16241848</v>
      </c>
    </row>
    <row r="9" spans="1:10" x14ac:dyDescent="0.25">
      <c r="A9" s="203" t="s">
        <v>215</v>
      </c>
      <c r="B9" s="204"/>
    </row>
    <row r="10" spans="1:10" x14ac:dyDescent="0.25">
      <c r="A10" s="206">
        <v>143002450</v>
      </c>
      <c r="B10" s="207"/>
      <c r="I10" s="3">
        <v>4753919.1500000004</v>
      </c>
      <c r="J10" s="3">
        <v>3577939.82</v>
      </c>
    </row>
    <row r="11" spans="1:10" x14ac:dyDescent="0.25">
      <c r="A11" s="206">
        <v>0</v>
      </c>
      <c r="B11" s="207"/>
      <c r="I11" s="3">
        <v>0</v>
      </c>
      <c r="J11" s="3">
        <v>0</v>
      </c>
    </row>
    <row r="12" spans="1:10" x14ac:dyDescent="0.25">
      <c r="A12" s="206">
        <v>0</v>
      </c>
      <c r="B12" s="207"/>
      <c r="I12" s="3">
        <v>0</v>
      </c>
      <c r="J12" s="3">
        <v>0</v>
      </c>
    </row>
    <row r="13" spans="1:10" x14ac:dyDescent="0.25">
      <c r="A13" s="206"/>
      <c r="B13" s="207"/>
    </row>
    <row r="14" spans="1:10" x14ac:dyDescent="0.25">
      <c r="A14" s="206"/>
      <c r="B14" s="207"/>
    </row>
    <row r="15" spans="1:10" x14ac:dyDescent="0.25">
      <c r="A15" s="206"/>
      <c r="B15" s="207"/>
    </row>
    <row r="16" spans="1:10" x14ac:dyDescent="0.25">
      <c r="A16" s="203" t="s">
        <v>216</v>
      </c>
      <c r="B16" s="204"/>
    </row>
    <row r="17" spans="1:10" x14ac:dyDescent="0.25">
      <c r="A17" s="206">
        <v>142000986</v>
      </c>
      <c r="B17" s="207"/>
      <c r="F17" s="3">
        <v>51167.33</v>
      </c>
      <c r="G17" s="3">
        <v>7968.54</v>
      </c>
    </row>
    <row r="18" spans="1:10" x14ac:dyDescent="0.25">
      <c r="A18" s="206">
        <v>142000987</v>
      </c>
      <c r="B18" s="207"/>
      <c r="F18" s="3">
        <v>10023.52</v>
      </c>
      <c r="G18" s="3">
        <v>3736.92</v>
      </c>
    </row>
    <row r="19" spans="1:10" x14ac:dyDescent="0.25">
      <c r="A19" s="206"/>
      <c r="B19" s="207"/>
    </row>
    <row r="20" spans="1:10" x14ac:dyDescent="0.25">
      <c r="A20" s="206"/>
      <c r="B20" s="207"/>
    </row>
    <row r="21" spans="1:10" ht="15.75" thickBot="1" x14ac:dyDescent="0.3">
      <c r="A21" s="208" t="s">
        <v>217</v>
      </c>
      <c r="B21" s="204"/>
      <c r="C21" s="209">
        <f>SUM(C4:C20)</f>
        <v>273089797.72000003</v>
      </c>
      <c r="D21" s="209">
        <f>SUM(D4:D20)</f>
        <v>51886881.326156698</v>
      </c>
      <c r="E21" s="198"/>
      <c r="F21" s="209">
        <f>SUM(F4:F20)</f>
        <v>99331617.590000004</v>
      </c>
      <c r="G21" s="209">
        <f>SUM(G4:G20)</f>
        <v>14295485.267749378</v>
      </c>
      <c r="H21" s="198"/>
      <c r="I21" s="209">
        <f>SUM(I4:I20)</f>
        <v>58021557.379999995</v>
      </c>
      <c r="J21" s="209">
        <f>SUM(J4:J20)</f>
        <v>18127247.279152598</v>
      </c>
    </row>
    <row r="22" spans="1:10" ht="15.75" thickTop="1" x14ac:dyDescent="0.25"/>
    <row r="24" spans="1:10" x14ac:dyDescent="0.25">
      <c r="A24" s="203"/>
    </row>
  </sheetData>
  <mergeCells count="3">
    <mergeCell ref="C1:D1"/>
    <mergeCell ref="F1:G1"/>
    <mergeCell ref="I1:J1"/>
  </mergeCells>
  <pageMargins left="0.7" right="0.7" top="0.75" bottom="0.75" header="0.3" footer="0.3"/>
  <pageSetup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9"/>
  <sheetViews>
    <sheetView topLeftCell="AD7" zoomScaleNormal="100" workbookViewId="0">
      <selection activeCell="E13" sqref="E13"/>
    </sheetView>
  </sheetViews>
  <sheetFormatPr defaultColWidth="9.140625" defaultRowHeight="15" x14ac:dyDescent="0.25"/>
  <cols>
    <col min="1" max="1" width="47.140625" style="1" bestFit="1" customWidth="1"/>
    <col min="2" max="2" width="12" style="1" bestFit="1" customWidth="1"/>
    <col min="3" max="3" width="13.85546875" style="1" bestFit="1" customWidth="1"/>
    <col min="4" max="12" width="12" style="1" bestFit="1" customWidth="1"/>
    <col min="13" max="13" width="34" style="1" bestFit="1" customWidth="1"/>
    <col min="14" max="14" width="14" style="1" bestFit="1" customWidth="1"/>
    <col min="15" max="21" width="15.42578125" style="1" bestFit="1" customWidth="1"/>
    <col min="22" max="36" width="13.28515625" style="1" bestFit="1" customWidth="1"/>
    <col min="37" max="37" width="13.5703125" style="1" bestFit="1" customWidth="1"/>
    <col min="38" max="38" width="13.28515625" style="1" bestFit="1" customWidth="1"/>
    <col min="39" max="47" width="12.140625" style="1" bestFit="1" customWidth="1"/>
    <col min="48" max="50" width="12.5703125" style="1" bestFit="1" customWidth="1"/>
    <col min="51" max="16384" width="9.140625" style="1"/>
  </cols>
  <sheetData>
    <row r="1" spans="1:50" x14ac:dyDescent="0.25">
      <c r="B1" s="1">
        <v>2021</v>
      </c>
      <c r="C1" s="107" t="s">
        <v>71</v>
      </c>
      <c r="D1" s="108">
        <f>AMI!L16</f>
        <v>0.65980000000000005</v>
      </c>
      <c r="E1" s="108">
        <f>AMI!M16</f>
        <v>0.3402</v>
      </c>
      <c r="M1" s="6"/>
      <c r="N1" s="6"/>
      <c r="O1" s="6"/>
      <c r="P1" s="6"/>
      <c r="Q1" s="6"/>
      <c r="R1" s="6"/>
      <c r="S1" s="6"/>
      <c r="T1" s="6"/>
    </row>
    <row r="2" spans="1:50" s="6" customFormat="1" x14ac:dyDescent="0.25">
      <c r="A2" s="6" t="s">
        <v>17</v>
      </c>
      <c r="B2" s="6">
        <v>2022</v>
      </c>
      <c r="C2" s="107" t="s">
        <v>71</v>
      </c>
      <c r="D2" s="22">
        <v>0.65659999999999996</v>
      </c>
      <c r="E2" s="22">
        <v>0.34339999999999998</v>
      </c>
      <c r="M2" s="6" t="s">
        <v>17</v>
      </c>
      <c r="AE2" s="1" t="s">
        <v>18</v>
      </c>
      <c r="AF2" s="1"/>
      <c r="AG2" s="1"/>
      <c r="AH2" s="1"/>
      <c r="AI2" s="1"/>
      <c r="AJ2" s="1"/>
      <c r="AS2" s="1" t="s">
        <v>18</v>
      </c>
      <c r="AT2" s="1"/>
      <c r="AU2" s="1"/>
      <c r="AV2" s="1"/>
      <c r="AW2" s="1"/>
      <c r="AX2" s="1"/>
    </row>
    <row r="3" spans="1:50" s="6" customFormat="1" x14ac:dyDescent="0.25">
      <c r="B3" s="6">
        <v>2023</v>
      </c>
      <c r="C3" s="107" t="s">
        <v>71</v>
      </c>
      <c r="D3" s="22">
        <f>+AMI!L92</f>
        <v>0.65659999999999996</v>
      </c>
      <c r="E3" s="22">
        <f>+AMI!M92</f>
        <v>0.34339999999999998</v>
      </c>
      <c r="AE3" s="141">
        <v>45291</v>
      </c>
      <c r="AF3" s="1"/>
      <c r="AG3" s="1"/>
      <c r="AH3" s="1"/>
      <c r="AI3" s="1"/>
      <c r="AJ3" s="1"/>
      <c r="AS3" s="141">
        <v>45657</v>
      </c>
      <c r="AT3" s="1"/>
      <c r="AU3" s="1"/>
      <c r="AV3" s="1"/>
      <c r="AW3" s="1"/>
      <c r="AX3" s="1"/>
    </row>
    <row r="4" spans="1:50" s="6" customFormat="1" x14ac:dyDescent="0.25">
      <c r="A4" s="28" t="s">
        <v>18</v>
      </c>
      <c r="E4" s="106" t="s">
        <v>70</v>
      </c>
      <c r="M4" s="28" t="s">
        <v>18</v>
      </c>
      <c r="P4" s="66" t="s">
        <v>47</v>
      </c>
      <c r="Q4" s="67" t="s">
        <v>48</v>
      </c>
      <c r="AE4" s="66" t="s">
        <v>155</v>
      </c>
      <c r="AF4" s="1"/>
      <c r="AG4" s="67"/>
      <c r="AH4" s="1"/>
      <c r="AI4" s="1"/>
      <c r="AJ4" s="1"/>
      <c r="AS4" s="66" t="s">
        <v>221</v>
      </c>
      <c r="AT4" s="1"/>
      <c r="AU4" s="67"/>
      <c r="AV4" s="1"/>
      <c r="AW4" s="1"/>
      <c r="AX4" s="1"/>
    </row>
    <row r="5" spans="1:50" s="6" customFormat="1" x14ac:dyDescent="0.25">
      <c r="A5" s="105">
        <v>44561</v>
      </c>
      <c r="M5" s="24" t="s">
        <v>46</v>
      </c>
      <c r="AE5" s="1"/>
      <c r="AF5" s="1"/>
      <c r="AG5" s="1"/>
      <c r="AH5" s="1"/>
      <c r="AI5" s="1"/>
      <c r="AJ5" s="1"/>
      <c r="AS5" s="1"/>
      <c r="AT5" s="1"/>
      <c r="AU5" s="1"/>
      <c r="AV5" s="1"/>
      <c r="AW5" s="1"/>
      <c r="AX5" s="1"/>
    </row>
    <row r="6" spans="1:50" s="6" customFormat="1" x14ac:dyDescent="0.25">
      <c r="AE6" s="1"/>
      <c r="AF6" s="1"/>
      <c r="AG6" s="1"/>
      <c r="AH6" s="1"/>
      <c r="AI6" s="1"/>
      <c r="AJ6" s="1"/>
      <c r="AS6" s="1"/>
      <c r="AT6" s="1"/>
      <c r="AU6" s="1"/>
      <c r="AV6" s="1"/>
      <c r="AW6" s="1"/>
      <c r="AX6" s="1"/>
    </row>
    <row r="7" spans="1:50" s="6" customFormat="1" x14ac:dyDescent="0.25">
      <c r="E7" s="29" t="s">
        <v>28</v>
      </c>
      <c r="F7" s="29"/>
      <c r="Q7" s="29" t="s">
        <v>28</v>
      </c>
      <c r="R7" s="29"/>
      <c r="AE7" s="1"/>
      <c r="AF7" s="214" t="s">
        <v>148</v>
      </c>
      <c r="AG7" s="215"/>
      <c r="AH7" s="1"/>
      <c r="AI7" s="214" t="s">
        <v>148</v>
      </c>
      <c r="AJ7" s="215"/>
      <c r="AS7" s="1"/>
      <c r="AT7" s="211" t="s">
        <v>148</v>
      </c>
      <c r="AU7" s="212"/>
      <c r="AV7" s="1"/>
      <c r="AW7" s="211" t="s">
        <v>148</v>
      </c>
      <c r="AX7" s="212"/>
    </row>
    <row r="8" spans="1:50" s="6" customFormat="1" x14ac:dyDescent="0.25">
      <c r="B8" s="30" t="s">
        <v>69</v>
      </c>
      <c r="C8" s="31"/>
      <c r="E8" s="30" t="s">
        <v>26</v>
      </c>
      <c r="F8" s="31"/>
      <c r="N8" s="30" t="s">
        <v>49</v>
      </c>
      <c r="O8" s="31"/>
      <c r="Q8" s="30" t="s">
        <v>26</v>
      </c>
      <c r="R8" s="31"/>
      <c r="AE8" s="1"/>
      <c r="AF8" s="214" t="s">
        <v>149</v>
      </c>
      <c r="AG8" s="215"/>
      <c r="AH8" s="1"/>
      <c r="AI8" s="214" t="s">
        <v>49</v>
      </c>
      <c r="AJ8" s="215"/>
      <c r="AS8" s="1"/>
      <c r="AT8" s="211" t="s">
        <v>222</v>
      </c>
      <c r="AU8" s="212"/>
      <c r="AV8" s="1"/>
      <c r="AW8" s="211" t="s">
        <v>149</v>
      </c>
      <c r="AX8" s="212"/>
    </row>
    <row r="9" spans="1:50" s="6" customFormat="1" x14ac:dyDescent="0.25">
      <c r="B9" s="32" t="s">
        <v>19</v>
      </c>
      <c r="C9" s="32" t="s">
        <v>20</v>
      </c>
      <c r="E9" s="32" t="s">
        <v>2</v>
      </c>
      <c r="F9" s="32" t="s">
        <v>3</v>
      </c>
      <c r="N9" s="32" t="s">
        <v>19</v>
      </c>
      <c r="O9" s="32" t="s">
        <v>20</v>
      </c>
      <c r="Q9" s="32" t="s">
        <v>2</v>
      </c>
      <c r="R9" s="32" t="s">
        <v>3</v>
      </c>
      <c r="AE9" s="1"/>
      <c r="AF9" s="142" t="s">
        <v>19</v>
      </c>
      <c r="AG9" s="142" t="s">
        <v>20</v>
      </c>
      <c r="AH9" s="1"/>
      <c r="AI9" s="142" t="s">
        <v>19</v>
      </c>
      <c r="AJ9" s="142" t="s">
        <v>20</v>
      </c>
      <c r="AS9" s="1"/>
      <c r="AT9" s="142" t="s">
        <v>19</v>
      </c>
      <c r="AU9" s="142" t="s">
        <v>20</v>
      </c>
      <c r="AV9" s="1"/>
      <c r="AW9" s="142" t="s">
        <v>19</v>
      </c>
      <c r="AX9" s="142" t="s">
        <v>20</v>
      </c>
    </row>
    <row r="10" spans="1:50" s="6" customFormat="1" x14ac:dyDescent="0.25">
      <c r="A10" s="6" t="s">
        <v>21</v>
      </c>
      <c r="B10" s="33">
        <v>-11840080.925063172</v>
      </c>
      <c r="C10" s="33">
        <v>-16916900.561307043</v>
      </c>
      <c r="E10" s="34">
        <f>N37</f>
        <v>-14378490.743185105</v>
      </c>
      <c r="F10" s="34"/>
      <c r="M10" s="6" t="s">
        <v>21</v>
      </c>
      <c r="N10" s="33">
        <v>-16916900.561307043</v>
      </c>
      <c r="O10" s="33">
        <v>-22016497.866317347</v>
      </c>
      <c r="Q10" s="34">
        <f>AA22</f>
        <v>-22693462.704723939</v>
      </c>
      <c r="R10" s="34"/>
      <c r="AE10" s="4" t="s">
        <v>21</v>
      </c>
      <c r="AF10" s="143">
        <f>AJ10</f>
        <v>-22016497.866317347</v>
      </c>
      <c r="AG10" s="143">
        <v>-30140075.92719629</v>
      </c>
      <c r="AH10" s="4"/>
      <c r="AI10" s="143">
        <v>-16916900.561307043</v>
      </c>
      <c r="AJ10" s="143">
        <v>-22016497.866317347</v>
      </c>
      <c r="AS10" s="4" t="s">
        <v>21</v>
      </c>
      <c r="AT10" s="143">
        <v>-30140075.92719629</v>
      </c>
      <c r="AU10" s="143">
        <v>-35637169.833909355</v>
      </c>
      <c r="AV10" s="4"/>
      <c r="AW10" s="143">
        <v>-22016497.866317347</v>
      </c>
      <c r="AX10" s="143">
        <v>-30140075.92719629</v>
      </c>
    </row>
    <row r="11" spans="1:50" s="6" customFormat="1" x14ac:dyDescent="0.25">
      <c r="A11" s="6" t="s">
        <v>22</v>
      </c>
      <c r="B11" s="33">
        <v>-4291755.7325249854</v>
      </c>
      <c r="C11" s="33">
        <v>-7371098.4778405931</v>
      </c>
      <c r="E11" s="34"/>
      <c r="F11" s="34">
        <f>N38</f>
        <v>-5831427.1051827893</v>
      </c>
      <c r="M11" s="6" t="s">
        <v>22</v>
      </c>
      <c r="N11" s="33">
        <v>-7371098.4778405931</v>
      </c>
      <c r="O11" s="33">
        <v>-10439153.960144294</v>
      </c>
      <c r="Q11" s="34"/>
      <c r="R11" s="34">
        <f>AA23</f>
        <v>-10718483.776511878</v>
      </c>
      <c r="AE11" s="4" t="s">
        <v>22</v>
      </c>
      <c r="AF11" s="143">
        <f t="shared" ref="AF11:AF13" si="0">AJ11</f>
        <v>-10439153.960144294</v>
      </c>
      <c r="AG11" s="143">
        <v>-13791111.756555337</v>
      </c>
      <c r="AH11" s="4"/>
      <c r="AI11" s="143">
        <v>-7371098.4778405931</v>
      </c>
      <c r="AJ11" s="143">
        <v>-10439153.960144294</v>
      </c>
      <c r="AS11" s="4" t="s">
        <v>22</v>
      </c>
      <c r="AT11" s="143">
        <v>-13791111.756555337</v>
      </c>
      <c r="AU11" s="143">
        <v>-15885080.810225526</v>
      </c>
      <c r="AV11" s="4"/>
      <c r="AW11" s="143">
        <v>-10439153.960144294</v>
      </c>
      <c r="AX11" s="143">
        <v>-13791111.756555337</v>
      </c>
    </row>
    <row r="12" spans="1:50" s="6" customFormat="1" x14ac:dyDescent="0.25">
      <c r="A12" s="6" t="s">
        <v>23</v>
      </c>
      <c r="B12" s="33">
        <v>-1035670.4595215009</v>
      </c>
      <c r="C12" s="33">
        <v>-991555.28147229168</v>
      </c>
      <c r="E12" s="34">
        <f>N39*D1</f>
        <v>-668781.7719538525</v>
      </c>
      <c r="F12" s="34">
        <f>N39*E1</f>
        <v>-344831.09854304424</v>
      </c>
      <c r="M12" s="6" t="s">
        <v>23</v>
      </c>
      <c r="N12" s="33">
        <v>-991555.28147229168</v>
      </c>
      <c r="O12" s="33">
        <v>-4702389.4392214529</v>
      </c>
      <c r="Q12" s="34">
        <v>-3135182.4540690277</v>
      </c>
      <c r="R12" s="34">
        <v>-1639691.8287043923</v>
      </c>
      <c r="AE12" s="4" t="s">
        <v>150</v>
      </c>
      <c r="AF12" s="143">
        <f t="shared" si="0"/>
        <v>-4702389.4392214529</v>
      </c>
      <c r="AG12" s="143">
        <v>-6506947.0244190805</v>
      </c>
      <c r="AH12" s="4"/>
      <c r="AI12" s="143">
        <v>-991555.28147229168</v>
      </c>
      <c r="AJ12" s="143">
        <v>-4702389.4392214529</v>
      </c>
      <c r="AS12" s="4" t="s">
        <v>150</v>
      </c>
      <c r="AT12" s="143">
        <v>-6506947.0244190805</v>
      </c>
      <c r="AU12" s="143">
        <v>-6456577.3596986951</v>
      </c>
      <c r="AV12" s="4"/>
      <c r="AW12" s="143">
        <v>-4702389.4392214529</v>
      </c>
      <c r="AX12" s="143">
        <v>-6506947.0244190805</v>
      </c>
    </row>
    <row r="13" spans="1:50" s="6" customFormat="1" x14ac:dyDescent="0.25">
      <c r="A13" s="6" t="s">
        <v>24</v>
      </c>
      <c r="B13" s="33">
        <v>196706.54328540387</v>
      </c>
      <c r="C13" s="33">
        <v>-5881279.0055342941</v>
      </c>
      <c r="E13" s="34">
        <f>N40*D1</f>
        <v>-1875340.4552959092</v>
      </c>
      <c r="F13" s="34">
        <f>N40*E1</f>
        <v>-966945.77582853625</v>
      </c>
      <c r="M13" s="6" t="s">
        <v>24</v>
      </c>
      <c r="N13" s="33">
        <v>-5881279.0055342941</v>
      </c>
      <c r="O13" s="33">
        <v>-441145.24219452334</v>
      </c>
      <c r="Q13" s="34">
        <v>-276851.12887266104</v>
      </c>
      <c r="R13" s="34">
        <v>-144792.38144208316</v>
      </c>
      <c r="AE13" s="4" t="s">
        <v>24</v>
      </c>
      <c r="AF13" s="143">
        <f t="shared" si="0"/>
        <v>-441145.24219452334</v>
      </c>
      <c r="AG13" s="143">
        <v>-493664.56210580666</v>
      </c>
      <c r="AH13" s="4"/>
      <c r="AI13" s="143">
        <v>-5881279.0055342941</v>
      </c>
      <c r="AJ13" s="143">
        <v>-441145.24219452334</v>
      </c>
      <c r="AS13" s="4" t="s">
        <v>24</v>
      </c>
      <c r="AT13" s="143">
        <v>-493664.56210580666</v>
      </c>
      <c r="AU13" s="143">
        <v>-205071.60901309614</v>
      </c>
      <c r="AV13" s="4"/>
      <c r="AW13" s="143">
        <v>-441145.24219452334</v>
      </c>
      <c r="AX13" s="143">
        <v>-493664.56210580666</v>
      </c>
    </row>
    <row r="14" spans="1:50" s="6" customFormat="1" ht="15.75" thickBot="1" x14ac:dyDescent="0.3">
      <c r="A14" s="35" t="s">
        <v>25</v>
      </c>
      <c r="B14" s="36">
        <f>SUM(B10:B13)</f>
        <v>-16970800.573824257</v>
      </c>
      <c r="C14" s="36">
        <f>SUM(C10:C13)</f>
        <v>-31160833.326154225</v>
      </c>
      <c r="E14" s="37">
        <f>SUM(E10:E13)</f>
        <v>-16922612.970434867</v>
      </c>
      <c r="F14" s="37">
        <f>SUM(F10:F13)</f>
        <v>-7143203.97955437</v>
      </c>
      <c r="G14" s="38">
        <f>SUM(E14:F14)-N41</f>
        <v>0</v>
      </c>
      <c r="H14" s="39" t="s">
        <v>27</v>
      </c>
      <c r="M14" s="35" t="s">
        <v>25</v>
      </c>
      <c r="N14" s="36">
        <f>SUM(N10:N13)</f>
        <v>-31160833.326154225</v>
      </c>
      <c r="O14" s="36">
        <f>SUM(O10:O13)</f>
        <v>-37599186.507877626</v>
      </c>
      <c r="Q14" s="37">
        <f>SUM(Q10:Q13)</f>
        <v>-26105496.287665628</v>
      </c>
      <c r="R14" s="37">
        <f>SUM(R10:R13)</f>
        <v>-12502967.986658353</v>
      </c>
      <c r="S14" s="38">
        <f>SUM(Q14:R14)-AA26</f>
        <v>101773.29708688706</v>
      </c>
      <c r="T14" s="39" t="s">
        <v>27</v>
      </c>
      <c r="AE14" s="4" t="s">
        <v>25</v>
      </c>
      <c r="AF14" s="144">
        <f>SUM(AF10:AF13)</f>
        <v>-37599186.507877626</v>
      </c>
      <c r="AG14" s="144">
        <f>SUM(AG10:AG13)</f>
        <v>-50931799.270276517</v>
      </c>
      <c r="AH14" s="4"/>
      <c r="AI14" s="144">
        <v>-31160833.326154225</v>
      </c>
      <c r="AJ14" s="144">
        <v>-37599186.507877626</v>
      </c>
      <c r="AS14" s="4" t="s">
        <v>25</v>
      </c>
      <c r="AT14" s="144">
        <f>SUM(AT10:AT13)</f>
        <v>-50931799.270276517</v>
      </c>
      <c r="AU14" s="144">
        <f>SUM(AU10:AU13)</f>
        <v>-58183899.612846673</v>
      </c>
      <c r="AV14" s="4"/>
      <c r="AW14" s="144">
        <v>-37599186.507877626</v>
      </c>
      <c r="AX14" s="144">
        <v>-50931799.270276517</v>
      </c>
    </row>
    <row r="15" spans="1:50" s="6" customFormat="1" ht="15.75" thickTop="1" x14ac:dyDescent="0.25"/>
    <row r="16" spans="1:50" s="6" customFormat="1" x14ac:dyDescent="0.2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AA16" s="33">
        <f>(AL22-Z22)/12</f>
        <v>-676964.83840657736</v>
      </c>
      <c r="AB16" s="34">
        <f t="shared" ref="AB16:AK16" si="1">AA16</f>
        <v>-676964.83840657736</v>
      </c>
      <c r="AC16" s="34">
        <f t="shared" si="1"/>
        <v>-676964.83840657736</v>
      </c>
      <c r="AD16" s="34">
        <f t="shared" si="1"/>
        <v>-676964.83840657736</v>
      </c>
      <c r="AE16" s="34">
        <f t="shared" si="1"/>
        <v>-676964.83840657736</v>
      </c>
      <c r="AF16" s="34">
        <f t="shared" si="1"/>
        <v>-676964.83840657736</v>
      </c>
      <c r="AG16" s="34">
        <f t="shared" si="1"/>
        <v>-676964.83840657736</v>
      </c>
      <c r="AH16" s="34">
        <f t="shared" si="1"/>
        <v>-676964.83840657736</v>
      </c>
      <c r="AI16" s="34">
        <f t="shared" si="1"/>
        <v>-676964.83840657736</v>
      </c>
      <c r="AJ16" s="34">
        <f t="shared" si="1"/>
        <v>-676964.83840657736</v>
      </c>
      <c r="AK16" s="34">
        <f t="shared" si="1"/>
        <v>-676964.83840657736</v>
      </c>
      <c r="AL16" s="34">
        <f t="shared" ref="AL16:AL19" si="2">AK16</f>
        <v>-676964.83840657736</v>
      </c>
      <c r="AM16" s="34">
        <f>+(AU10-AL22)/12</f>
        <v>-458091.1588927554</v>
      </c>
      <c r="AN16" s="34">
        <f t="shared" ref="AN16:AN19" si="3">AM16</f>
        <v>-458091.1588927554</v>
      </c>
      <c r="AO16" s="34">
        <f t="shared" ref="AO16:AO19" si="4">AN16</f>
        <v>-458091.1588927554</v>
      </c>
      <c r="AP16" s="34">
        <f t="shared" ref="AP16:AP19" si="5">AO16</f>
        <v>-458091.1588927554</v>
      </c>
      <c r="AQ16" s="34">
        <f t="shared" ref="AQ16:AQ19" si="6">AP16</f>
        <v>-458091.1588927554</v>
      </c>
      <c r="AR16" s="34">
        <f t="shared" ref="AR16:AR19" si="7">AQ16</f>
        <v>-458091.1588927554</v>
      </c>
      <c r="AS16" s="34">
        <f t="shared" ref="AS16:AS19" si="8">AR16</f>
        <v>-458091.1588927554</v>
      </c>
      <c r="AT16" s="34">
        <f t="shared" ref="AT16:AT19" si="9">AS16</f>
        <v>-458091.1588927554</v>
      </c>
      <c r="AU16" s="34">
        <f t="shared" ref="AU16:AU19" si="10">AT16</f>
        <v>-458091.1588927554</v>
      </c>
      <c r="AV16" s="34">
        <f t="shared" ref="AV16:AV19" si="11">AU16</f>
        <v>-458091.1588927554</v>
      </c>
      <c r="AW16" s="34">
        <f t="shared" ref="AW16:AW19" si="12">AV16</f>
        <v>-458091.1588927554</v>
      </c>
      <c r="AX16" s="34">
        <f t="shared" ref="AX16:AX19" si="13">AW16</f>
        <v>-458091.1588927554</v>
      </c>
    </row>
    <row r="17" spans="1:50" s="6" customFormat="1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AA17" s="33">
        <f>(AL23-Z23)/12</f>
        <v>-279329.81636758725</v>
      </c>
      <c r="AB17" s="34">
        <f t="shared" ref="AB17:AK17" si="14">AA17</f>
        <v>-279329.81636758725</v>
      </c>
      <c r="AC17" s="34">
        <f t="shared" si="14"/>
        <v>-279329.81636758725</v>
      </c>
      <c r="AD17" s="34">
        <f t="shared" si="14"/>
        <v>-279329.81636758725</v>
      </c>
      <c r="AE17" s="34">
        <f t="shared" si="14"/>
        <v>-279329.81636758725</v>
      </c>
      <c r="AF17" s="34">
        <f t="shared" si="14"/>
        <v>-279329.81636758725</v>
      </c>
      <c r="AG17" s="34">
        <f t="shared" si="14"/>
        <v>-279329.81636758725</v>
      </c>
      <c r="AH17" s="34">
        <f t="shared" si="14"/>
        <v>-279329.81636758725</v>
      </c>
      <c r="AI17" s="34">
        <f t="shared" si="14"/>
        <v>-279329.81636758725</v>
      </c>
      <c r="AJ17" s="34">
        <f t="shared" si="14"/>
        <v>-279329.81636758725</v>
      </c>
      <c r="AK17" s="34">
        <f t="shared" si="14"/>
        <v>-279329.81636758725</v>
      </c>
      <c r="AL17" s="34">
        <f t="shared" si="2"/>
        <v>-279329.81636758725</v>
      </c>
      <c r="AM17" s="34">
        <f t="shared" ref="AM17:AM19" si="15">+(AU11-AL23)/12</f>
        <v>-174497.42113918238</v>
      </c>
      <c r="AN17" s="34">
        <f t="shared" si="3"/>
        <v>-174497.42113918238</v>
      </c>
      <c r="AO17" s="34">
        <f t="shared" si="4"/>
        <v>-174497.42113918238</v>
      </c>
      <c r="AP17" s="34">
        <f t="shared" si="5"/>
        <v>-174497.42113918238</v>
      </c>
      <c r="AQ17" s="34">
        <f t="shared" si="6"/>
        <v>-174497.42113918238</v>
      </c>
      <c r="AR17" s="34">
        <f t="shared" si="7"/>
        <v>-174497.42113918238</v>
      </c>
      <c r="AS17" s="34">
        <f t="shared" si="8"/>
        <v>-174497.42113918238</v>
      </c>
      <c r="AT17" s="34">
        <f t="shared" si="9"/>
        <v>-174497.42113918238</v>
      </c>
      <c r="AU17" s="34">
        <f t="shared" si="10"/>
        <v>-174497.42113918238</v>
      </c>
      <c r="AV17" s="34">
        <f t="shared" si="11"/>
        <v>-174497.42113918238</v>
      </c>
      <c r="AW17" s="34">
        <f t="shared" si="12"/>
        <v>-174497.42113918238</v>
      </c>
      <c r="AX17" s="34">
        <f t="shared" si="13"/>
        <v>-174497.42113918238</v>
      </c>
    </row>
    <row r="18" spans="1:50" s="6" customFormat="1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AA18" s="33">
        <f>(AL24-Z24)/12</f>
        <v>-150379.79876646903</v>
      </c>
      <c r="AB18" s="34">
        <f t="shared" ref="AB18:AK18" si="16">AA18</f>
        <v>-150379.79876646903</v>
      </c>
      <c r="AC18" s="34">
        <f t="shared" si="16"/>
        <v>-150379.79876646903</v>
      </c>
      <c r="AD18" s="34">
        <f t="shared" si="16"/>
        <v>-150379.79876646903</v>
      </c>
      <c r="AE18" s="34">
        <f t="shared" si="16"/>
        <v>-150379.79876646903</v>
      </c>
      <c r="AF18" s="34">
        <f t="shared" si="16"/>
        <v>-150379.79876646903</v>
      </c>
      <c r="AG18" s="34">
        <f t="shared" si="16"/>
        <v>-150379.79876646903</v>
      </c>
      <c r="AH18" s="34">
        <f t="shared" si="16"/>
        <v>-150379.79876646903</v>
      </c>
      <c r="AI18" s="34">
        <f t="shared" si="16"/>
        <v>-150379.79876646903</v>
      </c>
      <c r="AJ18" s="34">
        <f t="shared" si="16"/>
        <v>-150379.79876646903</v>
      </c>
      <c r="AK18" s="34">
        <f t="shared" si="16"/>
        <v>-150379.79876646903</v>
      </c>
      <c r="AL18" s="34">
        <f t="shared" si="2"/>
        <v>-150379.79876646903</v>
      </c>
      <c r="AM18" s="34">
        <f t="shared" si="15"/>
        <v>4197.4720600321116</v>
      </c>
      <c r="AN18" s="34">
        <f t="shared" si="3"/>
        <v>4197.4720600321116</v>
      </c>
      <c r="AO18" s="34">
        <f t="shared" si="4"/>
        <v>4197.4720600321116</v>
      </c>
      <c r="AP18" s="34">
        <f t="shared" si="5"/>
        <v>4197.4720600321116</v>
      </c>
      <c r="AQ18" s="34">
        <f t="shared" si="6"/>
        <v>4197.4720600321116</v>
      </c>
      <c r="AR18" s="34">
        <f t="shared" si="7"/>
        <v>4197.4720600321116</v>
      </c>
      <c r="AS18" s="34">
        <f t="shared" si="8"/>
        <v>4197.4720600321116</v>
      </c>
      <c r="AT18" s="34">
        <f t="shared" si="9"/>
        <v>4197.4720600321116</v>
      </c>
      <c r="AU18" s="34">
        <f t="shared" si="10"/>
        <v>4197.4720600321116</v>
      </c>
      <c r="AV18" s="34">
        <f t="shared" si="11"/>
        <v>4197.4720600321116</v>
      </c>
      <c r="AW18" s="34">
        <f t="shared" si="12"/>
        <v>4197.4720600321116</v>
      </c>
      <c r="AX18" s="34">
        <f t="shared" si="13"/>
        <v>4197.4720600321116</v>
      </c>
    </row>
    <row r="19" spans="1:50" s="6" customFormat="1" x14ac:dyDescent="0.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AA19" s="33">
        <f>(AL25-Z25)/12</f>
        <v>-4376.609992606881</v>
      </c>
      <c r="AB19" s="34">
        <f t="shared" ref="AB19:AK19" si="17">AA19</f>
        <v>-4376.609992606881</v>
      </c>
      <c r="AC19" s="34">
        <f t="shared" si="17"/>
        <v>-4376.609992606881</v>
      </c>
      <c r="AD19" s="34">
        <f t="shared" si="17"/>
        <v>-4376.609992606881</v>
      </c>
      <c r="AE19" s="34">
        <f t="shared" si="17"/>
        <v>-4376.609992606881</v>
      </c>
      <c r="AF19" s="34">
        <f t="shared" si="17"/>
        <v>-4376.609992606881</v>
      </c>
      <c r="AG19" s="34">
        <f t="shared" si="17"/>
        <v>-4376.609992606881</v>
      </c>
      <c r="AH19" s="34">
        <f t="shared" si="17"/>
        <v>-4376.609992606881</v>
      </c>
      <c r="AI19" s="34">
        <f t="shared" si="17"/>
        <v>-4376.609992606881</v>
      </c>
      <c r="AJ19" s="34">
        <f t="shared" si="17"/>
        <v>-4376.609992606881</v>
      </c>
      <c r="AK19" s="34">
        <f t="shared" si="17"/>
        <v>-4376.609992606881</v>
      </c>
      <c r="AL19" s="34">
        <f t="shared" si="2"/>
        <v>-4376.609992606881</v>
      </c>
      <c r="AM19" s="34">
        <f t="shared" si="15"/>
        <v>24049.412757725877</v>
      </c>
      <c r="AN19" s="34">
        <f t="shared" si="3"/>
        <v>24049.412757725877</v>
      </c>
      <c r="AO19" s="34">
        <f t="shared" si="4"/>
        <v>24049.412757725877</v>
      </c>
      <c r="AP19" s="34">
        <f t="shared" si="5"/>
        <v>24049.412757725877</v>
      </c>
      <c r="AQ19" s="34">
        <f t="shared" si="6"/>
        <v>24049.412757725877</v>
      </c>
      <c r="AR19" s="34">
        <f t="shared" si="7"/>
        <v>24049.412757725877</v>
      </c>
      <c r="AS19" s="34">
        <f t="shared" si="8"/>
        <v>24049.412757725877</v>
      </c>
      <c r="AT19" s="34">
        <f t="shared" si="9"/>
        <v>24049.412757725877</v>
      </c>
      <c r="AU19" s="34">
        <f t="shared" si="10"/>
        <v>24049.412757725877</v>
      </c>
      <c r="AV19" s="34">
        <f t="shared" si="11"/>
        <v>24049.412757725877</v>
      </c>
      <c r="AW19" s="34">
        <f t="shared" si="12"/>
        <v>24049.412757725877</v>
      </c>
      <c r="AX19" s="34">
        <f t="shared" si="13"/>
        <v>24049.412757725877</v>
      </c>
    </row>
    <row r="20" spans="1:50" s="6" customFormat="1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AA20" s="33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spans="1:50" s="6" customFormat="1" x14ac:dyDescent="0.25">
      <c r="B21" s="40">
        <v>44166</v>
      </c>
      <c r="C21" s="40">
        <v>44197</v>
      </c>
      <c r="D21" s="40">
        <v>44228</v>
      </c>
      <c r="E21" s="40">
        <v>44256</v>
      </c>
      <c r="F21" s="40">
        <v>44287</v>
      </c>
      <c r="G21" s="40">
        <v>44317</v>
      </c>
      <c r="H21" s="40">
        <v>44348</v>
      </c>
      <c r="I21" s="40">
        <v>44378</v>
      </c>
      <c r="J21" s="40">
        <v>44409</v>
      </c>
      <c r="K21" s="40">
        <v>44440</v>
      </c>
      <c r="L21" s="40">
        <v>44470</v>
      </c>
      <c r="M21" s="40">
        <v>44501</v>
      </c>
      <c r="N21" s="40">
        <v>44531</v>
      </c>
      <c r="O21" s="40">
        <v>44562</v>
      </c>
      <c r="P21" s="40">
        <v>44593</v>
      </c>
      <c r="Q21" s="40">
        <v>44621</v>
      </c>
      <c r="R21" s="40">
        <v>44652</v>
      </c>
      <c r="S21" s="40">
        <v>44682</v>
      </c>
      <c r="T21" s="40">
        <v>44713</v>
      </c>
      <c r="U21" s="40">
        <v>44743</v>
      </c>
      <c r="V21" s="40">
        <v>44774</v>
      </c>
      <c r="W21" s="40">
        <v>44805</v>
      </c>
      <c r="X21" s="40">
        <v>44835</v>
      </c>
      <c r="Y21" s="40">
        <v>44866</v>
      </c>
      <c r="Z21" s="40">
        <v>44896</v>
      </c>
      <c r="AA21" s="40">
        <v>44927</v>
      </c>
      <c r="AB21" s="40">
        <v>44958</v>
      </c>
      <c r="AC21" s="40">
        <v>44986</v>
      </c>
      <c r="AD21" s="40">
        <v>45017</v>
      </c>
      <c r="AE21" s="40">
        <v>45047</v>
      </c>
      <c r="AF21" s="40">
        <v>45078</v>
      </c>
      <c r="AG21" s="40">
        <v>45108</v>
      </c>
      <c r="AH21" s="40">
        <v>45139</v>
      </c>
      <c r="AI21" s="40">
        <v>45170</v>
      </c>
      <c r="AJ21" s="40">
        <v>45200</v>
      </c>
      <c r="AK21" s="40">
        <v>45231</v>
      </c>
      <c r="AL21" s="40">
        <v>45261</v>
      </c>
      <c r="AM21" s="40">
        <v>45292</v>
      </c>
      <c r="AN21" s="40">
        <v>45323</v>
      </c>
      <c r="AO21" s="40">
        <v>45352</v>
      </c>
      <c r="AP21" s="40">
        <v>45383</v>
      </c>
      <c r="AQ21" s="40">
        <v>45413</v>
      </c>
      <c r="AR21" s="40">
        <v>45444</v>
      </c>
      <c r="AS21" s="40">
        <v>45474</v>
      </c>
      <c r="AT21" s="40">
        <v>45505</v>
      </c>
      <c r="AU21" s="40">
        <v>45536</v>
      </c>
      <c r="AV21" s="40">
        <v>45566</v>
      </c>
      <c r="AW21" s="40">
        <v>45597</v>
      </c>
      <c r="AX21" s="40">
        <v>45627</v>
      </c>
    </row>
    <row r="22" spans="1:50" s="6" customFormat="1" x14ac:dyDescent="0.25">
      <c r="A22" s="6" t="s">
        <v>21</v>
      </c>
      <c r="B22" s="33">
        <f>B10</f>
        <v>-11840080.925063172</v>
      </c>
      <c r="C22" s="33">
        <f t="shared" ref="C22:M22" si="18">B22+(($C$10-$B$10)/12)</f>
        <v>-12263149.228083495</v>
      </c>
      <c r="D22" s="33">
        <f t="shared" si="18"/>
        <v>-12686217.531103818</v>
      </c>
      <c r="E22" s="33">
        <f t="shared" si="18"/>
        <v>-13109285.83412414</v>
      </c>
      <c r="F22" s="33">
        <f t="shared" si="18"/>
        <v>-13532354.137144463</v>
      </c>
      <c r="G22" s="33">
        <f t="shared" si="18"/>
        <v>-13955422.440164786</v>
      </c>
      <c r="H22" s="33">
        <f t="shared" si="18"/>
        <v>-14378490.743185109</v>
      </c>
      <c r="I22" s="33">
        <f t="shared" si="18"/>
        <v>-14801559.046205431</v>
      </c>
      <c r="J22" s="33">
        <f t="shared" si="18"/>
        <v>-15224627.349225754</v>
      </c>
      <c r="K22" s="33">
        <f t="shared" si="18"/>
        <v>-15647695.652246077</v>
      </c>
      <c r="L22" s="33">
        <f t="shared" si="18"/>
        <v>-16070763.955266399</v>
      </c>
      <c r="M22" s="33">
        <f t="shared" si="18"/>
        <v>-16493832.258286722</v>
      </c>
      <c r="N22" s="33">
        <f>N10</f>
        <v>-16916900.561307043</v>
      </c>
      <c r="O22" s="33">
        <f t="shared" ref="O22:Z22" si="19">N22+(($O$10-$N$10)/12)</f>
        <v>-17341867.003391236</v>
      </c>
      <c r="P22" s="33">
        <f t="shared" si="19"/>
        <v>-17766833.445475429</v>
      </c>
      <c r="Q22" s="33">
        <f t="shared" si="19"/>
        <v>-18191799.887559623</v>
      </c>
      <c r="R22" s="33">
        <f t="shared" si="19"/>
        <v>-18616766.329643816</v>
      </c>
      <c r="S22" s="33">
        <f t="shared" si="19"/>
        <v>-19041732.771728009</v>
      </c>
      <c r="T22" s="33">
        <f t="shared" si="19"/>
        <v>-19466699.213812202</v>
      </c>
      <c r="U22" s="33">
        <f t="shared" si="19"/>
        <v>-19891665.655896395</v>
      </c>
      <c r="V22" s="33">
        <f t="shared" si="19"/>
        <v>-20316632.097980589</v>
      </c>
      <c r="W22" s="33">
        <f t="shared" si="19"/>
        <v>-20741598.540064782</v>
      </c>
      <c r="X22" s="33">
        <f t="shared" si="19"/>
        <v>-21166564.982148975</v>
      </c>
      <c r="Y22" s="33">
        <f t="shared" si="19"/>
        <v>-21591531.424233168</v>
      </c>
      <c r="Z22" s="33">
        <f t="shared" si="19"/>
        <v>-22016497.866317362</v>
      </c>
      <c r="AA22" s="33">
        <f t="shared" ref="AA22:AM22" si="20">Z22+AA16</f>
        <v>-22693462.704723939</v>
      </c>
      <c r="AB22" s="33">
        <f t="shared" si="20"/>
        <v>-23370427.543130517</v>
      </c>
      <c r="AC22" s="33">
        <f t="shared" si="20"/>
        <v>-24047392.381537095</v>
      </c>
      <c r="AD22" s="33">
        <f t="shared" si="20"/>
        <v>-24724357.219943672</v>
      </c>
      <c r="AE22" s="33">
        <f t="shared" si="20"/>
        <v>-25401322.05835025</v>
      </c>
      <c r="AF22" s="33">
        <f t="shared" si="20"/>
        <v>-26078286.896756828</v>
      </c>
      <c r="AG22" s="33">
        <f t="shared" si="20"/>
        <v>-26755251.735163406</v>
      </c>
      <c r="AH22" s="33">
        <f t="shared" si="20"/>
        <v>-27432216.573569983</v>
      </c>
      <c r="AI22" s="33">
        <f t="shared" si="20"/>
        <v>-28109181.411976561</v>
      </c>
      <c r="AJ22" s="33">
        <f t="shared" si="20"/>
        <v>-28786146.250383139</v>
      </c>
      <c r="AK22" s="33">
        <f t="shared" si="20"/>
        <v>-29463111.088789716</v>
      </c>
      <c r="AL22" s="104">
        <f>+AG10</f>
        <v>-30140075.92719629</v>
      </c>
      <c r="AM22" s="33">
        <f t="shared" si="20"/>
        <v>-30598167.086089045</v>
      </c>
      <c r="AN22" s="33">
        <f t="shared" ref="AN22:AN25" si="21">AM22+AN16</f>
        <v>-31056258.244981799</v>
      </c>
      <c r="AO22" s="33">
        <f t="shared" ref="AO22:AO25" si="22">AN22+AO16</f>
        <v>-31514349.403874554</v>
      </c>
      <c r="AP22" s="33">
        <f t="shared" ref="AP22:AP25" si="23">AO22+AP16</f>
        <v>-31972440.562767308</v>
      </c>
      <c r="AQ22" s="33">
        <f t="shared" ref="AQ22:AQ25" si="24">AP22+AQ16</f>
        <v>-32430531.721660063</v>
      </c>
      <c r="AR22" s="33">
        <f t="shared" ref="AR22:AR25" si="25">AQ22+AR16</f>
        <v>-32888622.880552817</v>
      </c>
      <c r="AS22" s="33">
        <f t="shared" ref="AS22:AS25" si="26">AR22+AS16</f>
        <v>-33346714.039445572</v>
      </c>
      <c r="AT22" s="33">
        <f t="shared" ref="AT22:AT25" si="27">AS22+AT16</f>
        <v>-33804805.19833833</v>
      </c>
      <c r="AU22" s="33">
        <f t="shared" ref="AU22:AU25" si="28">AT22+AU16</f>
        <v>-34262896.357231088</v>
      </c>
      <c r="AV22" s="33">
        <f t="shared" ref="AV22:AV25" si="29">AU22+AV16</f>
        <v>-34720987.516123846</v>
      </c>
      <c r="AW22" s="33">
        <f t="shared" ref="AW22:AW25" si="30">AV22+AW16</f>
        <v>-35179078.675016604</v>
      </c>
      <c r="AX22" s="104">
        <f>+AU10</f>
        <v>-35637169.833909355</v>
      </c>
    </row>
    <row r="23" spans="1:50" s="6" customFormat="1" x14ac:dyDescent="0.25">
      <c r="A23" s="6" t="s">
        <v>22</v>
      </c>
      <c r="B23" s="33">
        <f>B11</f>
        <v>-4291755.7325249854</v>
      </c>
      <c r="C23" s="33">
        <f t="shared" ref="C23:M23" si="31">B23+(($C$11-$B$11)/12)</f>
        <v>-4548367.6279679528</v>
      </c>
      <c r="D23" s="33">
        <f t="shared" si="31"/>
        <v>-4804979.5234109201</v>
      </c>
      <c r="E23" s="33">
        <f t="shared" si="31"/>
        <v>-5061591.4188538874</v>
      </c>
      <c r="F23" s="33">
        <f t="shared" si="31"/>
        <v>-5318203.3142968547</v>
      </c>
      <c r="G23" s="33">
        <f t="shared" si="31"/>
        <v>-5574815.209739822</v>
      </c>
      <c r="H23" s="33">
        <f t="shared" si="31"/>
        <v>-5831427.1051827893</v>
      </c>
      <c r="I23" s="33">
        <f t="shared" si="31"/>
        <v>-6088039.0006257566</v>
      </c>
      <c r="J23" s="33">
        <f t="shared" si="31"/>
        <v>-6344650.8960687239</v>
      </c>
      <c r="K23" s="33">
        <f t="shared" si="31"/>
        <v>-6601262.7915116912</v>
      </c>
      <c r="L23" s="33">
        <f t="shared" si="31"/>
        <v>-6857874.6869546585</v>
      </c>
      <c r="M23" s="33">
        <f t="shared" si="31"/>
        <v>-7114486.5823976258</v>
      </c>
      <c r="N23" s="33">
        <f>N11</f>
        <v>-7371098.4778405931</v>
      </c>
      <c r="O23" s="33">
        <f t="shared" ref="O23:Z23" si="32">N23+(($O$11-$N$11)/12)</f>
        <v>-7626769.7680325685</v>
      </c>
      <c r="P23" s="33">
        <f t="shared" si="32"/>
        <v>-7882441.0582245439</v>
      </c>
      <c r="Q23" s="33">
        <f t="shared" si="32"/>
        <v>-8138112.3484165194</v>
      </c>
      <c r="R23" s="33">
        <f t="shared" si="32"/>
        <v>-8393783.6386084948</v>
      </c>
      <c r="S23" s="33">
        <f t="shared" si="32"/>
        <v>-8649454.9288004693</v>
      </c>
      <c r="T23" s="33">
        <f t="shared" si="32"/>
        <v>-8905126.2189924438</v>
      </c>
      <c r="U23" s="33">
        <f t="shared" si="32"/>
        <v>-9160797.5091844182</v>
      </c>
      <c r="V23" s="33">
        <f t="shared" si="32"/>
        <v>-9416468.7993763927</v>
      </c>
      <c r="W23" s="33">
        <f t="shared" si="32"/>
        <v>-9672140.0895683672</v>
      </c>
      <c r="X23" s="33">
        <f t="shared" si="32"/>
        <v>-9927811.3797603417</v>
      </c>
      <c r="Y23" s="33">
        <f t="shared" si="32"/>
        <v>-10183482.669952316</v>
      </c>
      <c r="Z23" s="33">
        <f t="shared" si="32"/>
        <v>-10439153.960144291</v>
      </c>
      <c r="AA23" s="33">
        <f t="shared" ref="AA23:AM23" si="33">Z23+AA17</f>
        <v>-10718483.776511878</v>
      </c>
      <c r="AB23" s="33">
        <f t="shared" si="33"/>
        <v>-10997813.592879465</v>
      </c>
      <c r="AC23" s="33">
        <f t="shared" si="33"/>
        <v>-11277143.409247052</v>
      </c>
      <c r="AD23" s="33">
        <f t="shared" si="33"/>
        <v>-11556473.225614639</v>
      </c>
      <c r="AE23" s="33">
        <f t="shared" si="33"/>
        <v>-11835803.041982226</v>
      </c>
      <c r="AF23" s="33">
        <f t="shared" si="33"/>
        <v>-12115132.858349813</v>
      </c>
      <c r="AG23" s="33">
        <f t="shared" si="33"/>
        <v>-12394462.6747174</v>
      </c>
      <c r="AH23" s="33">
        <f t="shared" si="33"/>
        <v>-12673792.491084987</v>
      </c>
      <c r="AI23" s="33">
        <f t="shared" si="33"/>
        <v>-12953122.307452574</v>
      </c>
      <c r="AJ23" s="33">
        <f t="shared" si="33"/>
        <v>-13232452.123820161</v>
      </c>
      <c r="AK23" s="33">
        <f t="shared" si="33"/>
        <v>-13511781.940187749</v>
      </c>
      <c r="AL23" s="104">
        <f t="shared" ref="AL23:AL25" si="34">+AG11</f>
        <v>-13791111.756555337</v>
      </c>
      <c r="AM23" s="33">
        <f t="shared" si="33"/>
        <v>-13965609.17769452</v>
      </c>
      <c r="AN23" s="33">
        <f t="shared" si="21"/>
        <v>-14140106.598833703</v>
      </c>
      <c r="AO23" s="33">
        <f t="shared" si="22"/>
        <v>-14314604.019972885</v>
      </c>
      <c r="AP23" s="33">
        <f t="shared" si="23"/>
        <v>-14489101.441112068</v>
      </c>
      <c r="AQ23" s="33">
        <f t="shared" si="24"/>
        <v>-14663598.86225125</v>
      </c>
      <c r="AR23" s="33">
        <f t="shared" si="25"/>
        <v>-14838096.283390433</v>
      </c>
      <c r="AS23" s="33">
        <f t="shared" si="26"/>
        <v>-15012593.704529615</v>
      </c>
      <c r="AT23" s="33">
        <f t="shared" si="27"/>
        <v>-15187091.125668798</v>
      </c>
      <c r="AU23" s="33">
        <f t="shared" si="28"/>
        <v>-15361588.54680798</v>
      </c>
      <c r="AV23" s="33">
        <f t="shared" si="29"/>
        <v>-15536085.967947163</v>
      </c>
      <c r="AW23" s="33">
        <f t="shared" si="30"/>
        <v>-15710583.389086345</v>
      </c>
      <c r="AX23" s="104">
        <f t="shared" ref="AX23:AX25" si="35">+AU11</f>
        <v>-15885080.810225526</v>
      </c>
    </row>
    <row r="24" spans="1:50" s="6" customFormat="1" x14ac:dyDescent="0.25">
      <c r="A24" s="6" t="s">
        <v>23</v>
      </c>
      <c r="B24" s="33">
        <f>B12</f>
        <v>-1035670.4595215009</v>
      </c>
      <c r="C24" s="33">
        <f t="shared" ref="C24:M24" si="36">B24+(($C$12-$B$12)/12)</f>
        <v>-1031994.1946840668</v>
      </c>
      <c r="D24" s="33">
        <f t="shared" si="36"/>
        <v>-1028317.9298466328</v>
      </c>
      <c r="E24" s="33">
        <f t="shared" si="36"/>
        <v>-1024641.6650091987</v>
      </c>
      <c r="F24" s="33">
        <f t="shared" si="36"/>
        <v>-1020965.4001717647</v>
      </c>
      <c r="G24" s="33">
        <f t="shared" si="36"/>
        <v>-1017289.1353343306</v>
      </c>
      <c r="H24" s="33">
        <f t="shared" si="36"/>
        <v>-1013612.8704968966</v>
      </c>
      <c r="I24" s="33">
        <f t="shared" si="36"/>
        <v>-1009936.6056594625</v>
      </c>
      <c r="J24" s="33">
        <f t="shared" si="36"/>
        <v>-1006260.3408220285</v>
      </c>
      <c r="K24" s="33">
        <f t="shared" si="36"/>
        <v>-1002584.0759845944</v>
      </c>
      <c r="L24" s="33">
        <f t="shared" si="36"/>
        <v>-998907.81114716036</v>
      </c>
      <c r="M24" s="33">
        <f t="shared" si="36"/>
        <v>-995231.54630972631</v>
      </c>
      <c r="N24" s="33">
        <f>N12</f>
        <v>-991555.28147229168</v>
      </c>
      <c r="O24" s="33">
        <f t="shared" ref="O24:Z24" si="37">N24+(($O$12-$N$12)/12)</f>
        <v>-1300791.4612847217</v>
      </c>
      <c r="P24" s="33">
        <f t="shared" si="37"/>
        <v>-1610027.6410971519</v>
      </c>
      <c r="Q24" s="33">
        <f t="shared" si="37"/>
        <v>-1919263.8209095821</v>
      </c>
      <c r="R24" s="33">
        <f t="shared" si="37"/>
        <v>-2228500.000722012</v>
      </c>
      <c r="S24" s="33">
        <f t="shared" si="37"/>
        <v>-2537736.180534442</v>
      </c>
      <c r="T24" s="33">
        <f t="shared" si="37"/>
        <v>-2846972.3603468719</v>
      </c>
      <c r="U24" s="33">
        <f t="shared" si="37"/>
        <v>-3156208.5401593018</v>
      </c>
      <c r="V24" s="33">
        <f t="shared" si="37"/>
        <v>-3465444.7199717318</v>
      </c>
      <c r="W24" s="33">
        <f t="shared" si="37"/>
        <v>-3774680.8997841617</v>
      </c>
      <c r="X24" s="33">
        <f t="shared" si="37"/>
        <v>-4083917.0795965916</v>
      </c>
      <c r="Y24" s="33">
        <f t="shared" si="37"/>
        <v>-4393153.2594090216</v>
      </c>
      <c r="Z24" s="33">
        <f t="shared" si="37"/>
        <v>-4702389.439221452</v>
      </c>
      <c r="AA24" s="33">
        <f t="shared" ref="AA24:AM24" si="38">Z24+AA18</f>
        <v>-4852769.2379879206</v>
      </c>
      <c r="AB24" s="33">
        <f t="shared" si="38"/>
        <v>-5003149.0367543893</v>
      </c>
      <c r="AC24" s="33">
        <f t="shared" si="38"/>
        <v>-5153528.8355208579</v>
      </c>
      <c r="AD24" s="33">
        <f t="shared" si="38"/>
        <v>-5303908.6342873266</v>
      </c>
      <c r="AE24" s="33">
        <f t="shared" si="38"/>
        <v>-5454288.4330537952</v>
      </c>
      <c r="AF24" s="33">
        <f t="shared" si="38"/>
        <v>-5604668.2318202639</v>
      </c>
      <c r="AG24" s="33">
        <f t="shared" si="38"/>
        <v>-5755048.0305867326</v>
      </c>
      <c r="AH24" s="33">
        <f t="shared" si="38"/>
        <v>-5905427.8293532012</v>
      </c>
      <c r="AI24" s="33">
        <f t="shared" si="38"/>
        <v>-6055807.6281196699</v>
      </c>
      <c r="AJ24" s="33">
        <f t="shared" si="38"/>
        <v>-6206187.4268861385</v>
      </c>
      <c r="AK24" s="33">
        <f t="shared" si="38"/>
        <v>-6356567.2256526072</v>
      </c>
      <c r="AL24" s="104">
        <f t="shared" si="34"/>
        <v>-6506947.0244190805</v>
      </c>
      <c r="AM24" s="33">
        <f t="shared" si="38"/>
        <v>-6502749.5523590483</v>
      </c>
      <c r="AN24" s="33">
        <f t="shared" si="21"/>
        <v>-6498552.0802990161</v>
      </c>
      <c r="AO24" s="33">
        <f t="shared" si="22"/>
        <v>-6494354.6082389839</v>
      </c>
      <c r="AP24" s="33">
        <f t="shared" si="23"/>
        <v>-6490157.1361789517</v>
      </c>
      <c r="AQ24" s="33">
        <f t="shared" si="24"/>
        <v>-6485959.6641189195</v>
      </c>
      <c r="AR24" s="33">
        <f t="shared" si="25"/>
        <v>-6481762.1920588873</v>
      </c>
      <c r="AS24" s="33">
        <f t="shared" si="26"/>
        <v>-6477564.7199988551</v>
      </c>
      <c r="AT24" s="33">
        <f t="shared" si="27"/>
        <v>-6473367.247938823</v>
      </c>
      <c r="AU24" s="33">
        <f t="shared" si="28"/>
        <v>-6469169.7758787908</v>
      </c>
      <c r="AV24" s="33">
        <f t="shared" si="29"/>
        <v>-6464972.3038187586</v>
      </c>
      <c r="AW24" s="33">
        <f t="shared" si="30"/>
        <v>-6460774.8317587264</v>
      </c>
      <c r="AX24" s="104">
        <f t="shared" si="35"/>
        <v>-6456577.3596986951</v>
      </c>
    </row>
    <row r="25" spans="1:50" s="6" customFormat="1" x14ac:dyDescent="0.25">
      <c r="A25" s="6" t="s">
        <v>24</v>
      </c>
      <c r="B25" s="33">
        <f>B13</f>
        <v>196706.54328540387</v>
      </c>
      <c r="C25" s="33">
        <f t="shared" ref="C25:M25" si="39">B25+(($C$13-$B$13)/12)</f>
        <v>-309792.25244957098</v>
      </c>
      <c r="D25" s="33">
        <f t="shared" si="39"/>
        <v>-816291.04818454583</v>
      </c>
      <c r="E25" s="33">
        <f t="shared" si="39"/>
        <v>-1322789.8439195207</v>
      </c>
      <c r="F25" s="33">
        <f t="shared" si="39"/>
        <v>-1829288.6396544955</v>
      </c>
      <c r="G25" s="33">
        <f t="shared" si="39"/>
        <v>-2335787.4353894703</v>
      </c>
      <c r="H25" s="33">
        <f t="shared" si="39"/>
        <v>-2842286.2311244453</v>
      </c>
      <c r="I25" s="33">
        <f t="shared" si="39"/>
        <v>-3348785.0268594204</v>
      </c>
      <c r="J25" s="33">
        <f t="shared" si="39"/>
        <v>-3855283.8225943954</v>
      </c>
      <c r="K25" s="33">
        <f t="shared" si="39"/>
        <v>-4361782.6183293704</v>
      </c>
      <c r="L25" s="33">
        <f t="shared" si="39"/>
        <v>-4868281.414064345</v>
      </c>
      <c r="M25" s="33">
        <f t="shared" si="39"/>
        <v>-5374780.2097993195</v>
      </c>
      <c r="N25" s="33">
        <f>N13</f>
        <v>-5881279.0055342941</v>
      </c>
      <c r="O25" s="33">
        <f t="shared" ref="O25:Z25" si="40">N25+(($O$13-$N$13)/12)</f>
        <v>-5427934.52525598</v>
      </c>
      <c r="P25" s="33">
        <f t="shared" si="40"/>
        <v>-4974590.0449776659</v>
      </c>
      <c r="Q25" s="33">
        <f t="shared" si="40"/>
        <v>-4521245.5646993518</v>
      </c>
      <c r="R25" s="33">
        <f t="shared" si="40"/>
        <v>-4067901.0844210377</v>
      </c>
      <c r="S25" s="33">
        <f t="shared" si="40"/>
        <v>-3614556.6041427236</v>
      </c>
      <c r="T25" s="33">
        <f t="shared" si="40"/>
        <v>-3161212.1238644095</v>
      </c>
      <c r="U25" s="33">
        <f t="shared" si="40"/>
        <v>-2707867.6435860954</v>
      </c>
      <c r="V25" s="33">
        <f t="shared" si="40"/>
        <v>-2254523.1633077813</v>
      </c>
      <c r="W25" s="33">
        <f t="shared" si="40"/>
        <v>-1801178.683029467</v>
      </c>
      <c r="X25" s="33">
        <f t="shared" si="40"/>
        <v>-1347834.2027511527</v>
      </c>
      <c r="Y25" s="33">
        <f t="shared" si="40"/>
        <v>-894489.72247283836</v>
      </c>
      <c r="Z25" s="33">
        <f t="shared" si="40"/>
        <v>-441145.24219452409</v>
      </c>
      <c r="AA25" s="33">
        <f t="shared" ref="AA25:AM25" si="41">Z25+AA19</f>
        <v>-445521.85218713095</v>
      </c>
      <c r="AB25" s="33">
        <f t="shared" si="41"/>
        <v>-449898.46217973781</v>
      </c>
      <c r="AC25" s="33">
        <f t="shared" si="41"/>
        <v>-454275.07217234466</v>
      </c>
      <c r="AD25" s="33">
        <f t="shared" si="41"/>
        <v>-458651.68216495152</v>
      </c>
      <c r="AE25" s="33">
        <f t="shared" si="41"/>
        <v>-463028.29215755838</v>
      </c>
      <c r="AF25" s="33">
        <f t="shared" si="41"/>
        <v>-467404.90215016523</v>
      </c>
      <c r="AG25" s="33">
        <f t="shared" si="41"/>
        <v>-471781.51214277209</v>
      </c>
      <c r="AH25" s="33">
        <f t="shared" si="41"/>
        <v>-476158.12213537894</v>
      </c>
      <c r="AI25" s="33">
        <f t="shared" si="41"/>
        <v>-480534.7321279858</v>
      </c>
      <c r="AJ25" s="33">
        <f t="shared" si="41"/>
        <v>-484911.34212059266</v>
      </c>
      <c r="AK25" s="33">
        <f t="shared" si="41"/>
        <v>-489287.95211319951</v>
      </c>
      <c r="AL25" s="104">
        <f t="shared" si="34"/>
        <v>-493664.56210580666</v>
      </c>
      <c r="AM25" s="33">
        <f t="shared" si="41"/>
        <v>-469615.1493480808</v>
      </c>
      <c r="AN25" s="33">
        <f t="shared" si="21"/>
        <v>-445565.73659035494</v>
      </c>
      <c r="AO25" s="33">
        <f t="shared" si="22"/>
        <v>-421516.32383262907</v>
      </c>
      <c r="AP25" s="33">
        <f t="shared" si="23"/>
        <v>-397466.91107490321</v>
      </c>
      <c r="AQ25" s="33">
        <f t="shared" si="24"/>
        <v>-373417.49831717735</v>
      </c>
      <c r="AR25" s="33">
        <f t="shared" si="25"/>
        <v>-349368.08555945149</v>
      </c>
      <c r="AS25" s="33">
        <f t="shared" si="26"/>
        <v>-325318.67280172562</v>
      </c>
      <c r="AT25" s="33">
        <f t="shared" si="27"/>
        <v>-301269.26004399976</v>
      </c>
      <c r="AU25" s="33">
        <f t="shared" si="28"/>
        <v>-277219.8472862739</v>
      </c>
      <c r="AV25" s="33">
        <f t="shared" si="29"/>
        <v>-253170.43452854804</v>
      </c>
      <c r="AW25" s="33">
        <f t="shared" si="30"/>
        <v>-229121.02177082218</v>
      </c>
      <c r="AX25" s="104">
        <f t="shared" si="35"/>
        <v>-205071.60901309614</v>
      </c>
    </row>
    <row r="26" spans="1:50" s="6" customFormat="1" x14ac:dyDescent="0.25">
      <c r="A26" s="35" t="s">
        <v>25</v>
      </c>
      <c r="B26" s="36">
        <f t="shared" ref="B26:AK26" si="42">SUM(B22:B25)</f>
        <v>-16970800.573824257</v>
      </c>
      <c r="C26" s="36">
        <f t="shared" si="42"/>
        <v>-18153303.303185087</v>
      </c>
      <c r="D26" s="36">
        <f t="shared" si="42"/>
        <v>-19335806.032545917</v>
      </c>
      <c r="E26" s="36">
        <f t="shared" si="42"/>
        <v>-20518308.761906747</v>
      </c>
      <c r="F26" s="36">
        <f t="shared" si="42"/>
        <v>-21700811.491267577</v>
      </c>
      <c r="G26" s="36">
        <f t="shared" si="42"/>
        <v>-22883314.220628411</v>
      </c>
      <c r="H26" s="36">
        <f t="shared" si="42"/>
        <v>-24065816.949989241</v>
      </c>
      <c r="I26" s="36">
        <f t="shared" si="42"/>
        <v>-25248319.679350071</v>
      </c>
      <c r="J26" s="36">
        <f t="shared" si="42"/>
        <v>-26430822.408710904</v>
      </c>
      <c r="K26" s="36">
        <f t="shared" si="42"/>
        <v>-27613325.138071731</v>
      </c>
      <c r="L26" s="36">
        <f t="shared" si="42"/>
        <v>-28795827.867432561</v>
      </c>
      <c r="M26" s="36">
        <f t="shared" si="42"/>
        <v>-29978330.596793391</v>
      </c>
      <c r="N26" s="36">
        <f t="shared" si="42"/>
        <v>-31160833.326154225</v>
      </c>
      <c r="O26" s="36">
        <f t="shared" si="42"/>
        <v>-31697362.757964507</v>
      </c>
      <c r="P26" s="36">
        <f t="shared" si="42"/>
        <v>-32233892.189774789</v>
      </c>
      <c r="Q26" s="36">
        <f t="shared" si="42"/>
        <v>-32770421.621585075</v>
      </c>
      <c r="R26" s="36">
        <f t="shared" si="42"/>
        <v>-33306951.053395361</v>
      </c>
      <c r="S26" s="36">
        <f t="shared" si="42"/>
        <v>-33843480.485205643</v>
      </c>
      <c r="T26" s="36">
        <f t="shared" si="42"/>
        <v>-34380009.917015925</v>
      </c>
      <c r="U26" s="36">
        <f t="shared" si="42"/>
        <v>-34916539.348826215</v>
      </c>
      <c r="V26" s="36">
        <f t="shared" si="42"/>
        <v>-35453068.780636489</v>
      </c>
      <c r="W26" s="36">
        <f t="shared" si="42"/>
        <v>-35989598.212446779</v>
      </c>
      <c r="X26" s="36">
        <f t="shared" si="42"/>
        <v>-36526127.644257061</v>
      </c>
      <c r="Y26" s="36">
        <f t="shared" si="42"/>
        <v>-37062657.076067351</v>
      </c>
      <c r="Z26" s="36">
        <f t="shared" si="42"/>
        <v>-37599186.507877626</v>
      </c>
      <c r="AA26" s="36">
        <f t="shared" si="42"/>
        <v>-38710237.571410872</v>
      </c>
      <c r="AB26" s="36">
        <f t="shared" si="42"/>
        <v>-39821288.634944111</v>
      </c>
      <c r="AC26" s="36">
        <f t="shared" si="42"/>
        <v>-40932339.69847735</v>
      </c>
      <c r="AD26" s="36">
        <f t="shared" si="42"/>
        <v>-42043390.762010589</v>
      </c>
      <c r="AE26" s="36">
        <f t="shared" si="42"/>
        <v>-43154441.825543836</v>
      </c>
      <c r="AF26" s="36">
        <f t="shared" si="42"/>
        <v>-44265492.889077067</v>
      </c>
      <c r="AG26" s="36">
        <f t="shared" si="42"/>
        <v>-45376543.952610306</v>
      </c>
      <c r="AH26" s="36">
        <f t="shared" si="42"/>
        <v>-46487595.016143546</v>
      </c>
      <c r="AI26" s="36">
        <f t="shared" si="42"/>
        <v>-47598646.079676792</v>
      </c>
      <c r="AJ26" s="36">
        <f t="shared" si="42"/>
        <v>-48709697.143210039</v>
      </c>
      <c r="AK26" s="36">
        <f t="shared" si="42"/>
        <v>-49820748.20674327</v>
      </c>
      <c r="AL26" s="103">
        <f>SUM(AL22:AL25)</f>
        <v>-50931799.270276517</v>
      </c>
      <c r="AM26" s="210">
        <f t="shared" ref="AM26:AX26" si="43">SUM(AM22:AM25)</f>
        <v>-51536140.965490699</v>
      </c>
      <c r="AN26" s="210">
        <f t="shared" si="43"/>
        <v>-52140482.660704881</v>
      </c>
      <c r="AO26" s="210">
        <f t="shared" si="43"/>
        <v>-52744824.355919048</v>
      </c>
      <c r="AP26" s="210">
        <f t="shared" si="43"/>
        <v>-53349166.05113323</v>
      </c>
      <c r="AQ26" s="210">
        <f t="shared" si="43"/>
        <v>-53953507.746347405</v>
      </c>
      <c r="AR26" s="210">
        <f t="shared" si="43"/>
        <v>-54557849.441561587</v>
      </c>
      <c r="AS26" s="210">
        <f t="shared" si="43"/>
        <v>-55162191.136775769</v>
      </c>
      <c r="AT26" s="210">
        <f t="shared" si="43"/>
        <v>-55766532.831989951</v>
      </c>
      <c r="AU26" s="210">
        <f t="shared" si="43"/>
        <v>-56370874.527204134</v>
      </c>
      <c r="AV26" s="210">
        <f t="shared" si="43"/>
        <v>-56975216.222418308</v>
      </c>
      <c r="AW26" s="210">
        <f t="shared" si="43"/>
        <v>-57579557.91763249</v>
      </c>
      <c r="AX26" s="103">
        <f t="shared" si="43"/>
        <v>-58183899.612846673</v>
      </c>
    </row>
    <row r="27" spans="1:50" s="6" customFormat="1" x14ac:dyDescent="0.2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Y27" s="41" t="s">
        <v>27</v>
      </c>
      <c r="Z27" s="42">
        <f>Z26-O14</f>
        <v>0</v>
      </c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</row>
    <row r="28" spans="1:50" s="6" customFormat="1" x14ac:dyDescent="0.25">
      <c r="C28" s="34">
        <f t="shared" ref="C28:AL28" si="44">+C22-B22</f>
        <v>-423068.3030203227</v>
      </c>
      <c r="D28" s="34">
        <f t="shared" si="44"/>
        <v>-423068.3030203227</v>
      </c>
      <c r="E28" s="34">
        <f t="shared" si="44"/>
        <v>-423068.3030203227</v>
      </c>
      <c r="F28" s="34">
        <f t="shared" si="44"/>
        <v>-423068.3030203227</v>
      </c>
      <c r="G28" s="34">
        <f t="shared" si="44"/>
        <v>-423068.3030203227</v>
      </c>
      <c r="H28" s="34">
        <f t="shared" si="44"/>
        <v>-423068.3030203227</v>
      </c>
      <c r="I28" s="34">
        <f t="shared" si="44"/>
        <v>-423068.3030203227</v>
      </c>
      <c r="J28" s="34">
        <f t="shared" si="44"/>
        <v>-423068.3030203227</v>
      </c>
      <c r="K28" s="34">
        <f t="shared" si="44"/>
        <v>-423068.3030203227</v>
      </c>
      <c r="L28" s="34">
        <f t="shared" si="44"/>
        <v>-423068.3030203227</v>
      </c>
      <c r="M28" s="34">
        <f t="shared" si="44"/>
        <v>-423068.3030203227</v>
      </c>
      <c r="N28" s="34">
        <f t="shared" si="44"/>
        <v>-423068.30302032083</v>
      </c>
      <c r="O28" s="34">
        <f t="shared" si="44"/>
        <v>-424966.44208419323</v>
      </c>
      <c r="P28" s="34">
        <f t="shared" si="44"/>
        <v>-424966.44208419323</v>
      </c>
      <c r="Q28" s="34">
        <f t="shared" si="44"/>
        <v>-424966.44208419323</v>
      </c>
      <c r="R28" s="34">
        <f t="shared" si="44"/>
        <v>-424966.44208419323</v>
      </c>
      <c r="S28" s="34">
        <f t="shared" si="44"/>
        <v>-424966.44208419323</v>
      </c>
      <c r="T28" s="34">
        <f t="shared" si="44"/>
        <v>-424966.44208419323</v>
      </c>
      <c r="U28" s="34">
        <f t="shared" si="44"/>
        <v>-424966.44208419323</v>
      </c>
      <c r="V28" s="34">
        <f t="shared" si="44"/>
        <v>-424966.44208419323</v>
      </c>
      <c r="W28" s="34">
        <f t="shared" si="44"/>
        <v>-424966.44208419323</v>
      </c>
      <c r="X28" s="34">
        <f t="shared" si="44"/>
        <v>-424966.44208419323</v>
      </c>
      <c r="Y28" s="34">
        <f t="shared" si="44"/>
        <v>-424966.44208419323</v>
      </c>
      <c r="Z28" s="34">
        <f t="shared" si="44"/>
        <v>-424966.44208419323</v>
      </c>
      <c r="AA28" s="34">
        <f t="shared" si="44"/>
        <v>-676964.83840657771</v>
      </c>
      <c r="AB28" s="34">
        <f t="shared" si="44"/>
        <v>-676964.83840657771</v>
      </c>
      <c r="AC28" s="34">
        <f t="shared" si="44"/>
        <v>-676964.83840657771</v>
      </c>
      <c r="AD28" s="34">
        <f t="shared" si="44"/>
        <v>-676964.83840657771</v>
      </c>
      <c r="AE28" s="34">
        <f t="shared" si="44"/>
        <v>-676964.83840657771</v>
      </c>
      <c r="AF28" s="34">
        <f t="shared" si="44"/>
        <v>-676964.83840657771</v>
      </c>
      <c r="AG28" s="34">
        <f t="shared" si="44"/>
        <v>-676964.83840657771</v>
      </c>
      <c r="AH28" s="34">
        <f t="shared" si="44"/>
        <v>-676964.83840657771</v>
      </c>
      <c r="AI28" s="34">
        <f t="shared" si="44"/>
        <v>-676964.83840657771</v>
      </c>
      <c r="AJ28" s="34">
        <f t="shared" si="44"/>
        <v>-676964.83840657771</v>
      </c>
      <c r="AK28" s="34">
        <f t="shared" si="44"/>
        <v>-676964.83840657771</v>
      </c>
      <c r="AL28" s="34">
        <f t="shared" si="44"/>
        <v>-676964.83840657398</v>
      </c>
      <c r="AM28" s="34">
        <f t="shared" ref="AM28:AM32" si="45">+AM22-AL22</f>
        <v>-458091.15889275447</v>
      </c>
      <c r="AN28" s="34">
        <f t="shared" ref="AN28:AN32" si="46">+AN22-AM22</f>
        <v>-458091.15889275447</v>
      </c>
      <c r="AO28" s="34">
        <f t="shared" ref="AO28:AO32" si="47">+AO22-AN22</f>
        <v>-458091.15889275447</v>
      </c>
      <c r="AP28" s="34">
        <f t="shared" ref="AP28:AP32" si="48">+AP22-AO22</f>
        <v>-458091.15889275447</v>
      </c>
      <c r="AQ28" s="34">
        <f t="shared" ref="AQ28:AQ32" si="49">+AQ22-AP22</f>
        <v>-458091.15889275447</v>
      </c>
      <c r="AR28" s="34">
        <f t="shared" ref="AR28:AR32" si="50">+AR22-AQ22</f>
        <v>-458091.15889275447</v>
      </c>
      <c r="AS28" s="34">
        <f t="shared" ref="AS28:AS32" si="51">+AS22-AR22</f>
        <v>-458091.15889275447</v>
      </c>
      <c r="AT28" s="34">
        <f t="shared" ref="AT28:AT32" si="52">+AT22-AS22</f>
        <v>-458091.15889275819</v>
      </c>
      <c r="AU28" s="34">
        <f t="shared" ref="AU28:AU32" si="53">+AU22-AT22</f>
        <v>-458091.15889275819</v>
      </c>
      <c r="AV28" s="34">
        <f t="shared" ref="AV28:AV32" si="54">+AV22-AU22</f>
        <v>-458091.15889275819</v>
      </c>
      <c r="AW28" s="34">
        <f t="shared" ref="AW28:AW32" si="55">+AW22-AV22</f>
        <v>-458091.15889275819</v>
      </c>
      <c r="AX28" s="34">
        <f t="shared" ref="AX28:AX32" si="56">+AX22-AW22</f>
        <v>-458091.15889275074</v>
      </c>
    </row>
    <row r="29" spans="1:50" s="6" customFormat="1" x14ac:dyDescent="0.25">
      <c r="C29" s="34">
        <f t="shared" ref="C29:AL29" si="57">+C23-B23</f>
        <v>-256611.8954429673</v>
      </c>
      <c r="D29" s="34">
        <f t="shared" si="57"/>
        <v>-256611.8954429673</v>
      </c>
      <c r="E29" s="34">
        <f t="shared" si="57"/>
        <v>-256611.8954429673</v>
      </c>
      <c r="F29" s="34">
        <f t="shared" si="57"/>
        <v>-256611.8954429673</v>
      </c>
      <c r="G29" s="34">
        <f t="shared" si="57"/>
        <v>-256611.8954429673</v>
      </c>
      <c r="H29" s="34">
        <f t="shared" si="57"/>
        <v>-256611.8954429673</v>
      </c>
      <c r="I29" s="34">
        <f t="shared" si="57"/>
        <v>-256611.8954429673</v>
      </c>
      <c r="J29" s="34">
        <f t="shared" si="57"/>
        <v>-256611.8954429673</v>
      </c>
      <c r="K29" s="34">
        <f t="shared" si="57"/>
        <v>-256611.8954429673</v>
      </c>
      <c r="L29" s="34">
        <f t="shared" si="57"/>
        <v>-256611.8954429673</v>
      </c>
      <c r="M29" s="34">
        <f t="shared" si="57"/>
        <v>-256611.8954429673</v>
      </c>
      <c r="N29" s="34">
        <f t="shared" si="57"/>
        <v>-256611.8954429673</v>
      </c>
      <c r="O29" s="34">
        <f t="shared" si="57"/>
        <v>-255671.29019197542</v>
      </c>
      <c r="P29" s="34">
        <f t="shared" si="57"/>
        <v>-255671.29019197542</v>
      </c>
      <c r="Q29" s="34">
        <f t="shared" si="57"/>
        <v>-255671.29019197542</v>
      </c>
      <c r="R29" s="34">
        <f t="shared" si="57"/>
        <v>-255671.29019197542</v>
      </c>
      <c r="S29" s="34">
        <f t="shared" si="57"/>
        <v>-255671.29019197449</v>
      </c>
      <c r="T29" s="34">
        <f t="shared" si="57"/>
        <v>-255671.29019197449</v>
      </c>
      <c r="U29" s="34">
        <f t="shared" si="57"/>
        <v>-255671.29019197449</v>
      </c>
      <c r="V29" s="34">
        <f t="shared" si="57"/>
        <v>-255671.29019197449</v>
      </c>
      <c r="W29" s="34">
        <f t="shared" si="57"/>
        <v>-255671.29019197449</v>
      </c>
      <c r="X29" s="34">
        <f t="shared" si="57"/>
        <v>-255671.29019197449</v>
      </c>
      <c r="Y29" s="34">
        <f t="shared" si="57"/>
        <v>-255671.29019197449</v>
      </c>
      <c r="Z29" s="34">
        <f t="shared" si="57"/>
        <v>-255671.29019197449</v>
      </c>
      <c r="AA29" s="34">
        <f t="shared" si="57"/>
        <v>-279329.81636758707</v>
      </c>
      <c r="AB29" s="34">
        <f t="shared" si="57"/>
        <v>-279329.81636758707</v>
      </c>
      <c r="AC29" s="34">
        <f t="shared" si="57"/>
        <v>-279329.81636758707</v>
      </c>
      <c r="AD29" s="34">
        <f t="shared" si="57"/>
        <v>-279329.81636758707</v>
      </c>
      <c r="AE29" s="34">
        <f t="shared" si="57"/>
        <v>-279329.81636758707</v>
      </c>
      <c r="AF29" s="34">
        <f t="shared" si="57"/>
        <v>-279329.81636758707</v>
      </c>
      <c r="AG29" s="34">
        <f t="shared" si="57"/>
        <v>-279329.81636758707</v>
      </c>
      <c r="AH29" s="34">
        <f t="shared" si="57"/>
        <v>-279329.81636758707</v>
      </c>
      <c r="AI29" s="34">
        <f t="shared" si="57"/>
        <v>-279329.81636758707</v>
      </c>
      <c r="AJ29" s="34">
        <f t="shared" si="57"/>
        <v>-279329.81636758707</v>
      </c>
      <c r="AK29" s="34">
        <f t="shared" si="57"/>
        <v>-279329.81636758707</v>
      </c>
      <c r="AL29" s="34">
        <f t="shared" si="57"/>
        <v>-279329.81636758894</v>
      </c>
      <c r="AM29" s="34">
        <f t="shared" si="45"/>
        <v>-174497.42113918252</v>
      </c>
      <c r="AN29" s="34">
        <f t="shared" si="46"/>
        <v>-174497.42113918252</v>
      </c>
      <c r="AO29" s="34">
        <f t="shared" si="47"/>
        <v>-174497.42113918252</v>
      </c>
      <c r="AP29" s="34">
        <f t="shared" si="48"/>
        <v>-174497.42113918252</v>
      </c>
      <c r="AQ29" s="34">
        <f t="shared" si="49"/>
        <v>-174497.42113918252</v>
      </c>
      <c r="AR29" s="34">
        <f t="shared" si="50"/>
        <v>-174497.42113918252</v>
      </c>
      <c r="AS29" s="34">
        <f t="shared" si="51"/>
        <v>-174497.42113918252</v>
      </c>
      <c r="AT29" s="34">
        <f t="shared" si="52"/>
        <v>-174497.42113918252</v>
      </c>
      <c r="AU29" s="34">
        <f t="shared" si="53"/>
        <v>-174497.42113918252</v>
      </c>
      <c r="AV29" s="34">
        <f t="shared" si="54"/>
        <v>-174497.42113918252</v>
      </c>
      <c r="AW29" s="34">
        <f t="shared" si="55"/>
        <v>-174497.42113918252</v>
      </c>
      <c r="AX29" s="34">
        <f t="shared" si="56"/>
        <v>-174497.42113918066</v>
      </c>
    </row>
    <row r="30" spans="1:50" s="6" customFormat="1" x14ac:dyDescent="0.25">
      <c r="C30" s="34">
        <f t="shared" ref="C30:AL30" si="58">+C24-B24</f>
        <v>3676.2648374340497</v>
      </c>
      <c r="D30" s="34">
        <f t="shared" si="58"/>
        <v>3676.2648374340497</v>
      </c>
      <c r="E30" s="34">
        <f t="shared" si="58"/>
        <v>3676.2648374340497</v>
      </c>
      <c r="F30" s="34">
        <f t="shared" si="58"/>
        <v>3676.2648374340497</v>
      </c>
      <c r="G30" s="34">
        <f t="shared" si="58"/>
        <v>3676.2648374340497</v>
      </c>
      <c r="H30" s="34">
        <f t="shared" si="58"/>
        <v>3676.2648374340497</v>
      </c>
      <c r="I30" s="34">
        <f t="shared" si="58"/>
        <v>3676.2648374340497</v>
      </c>
      <c r="J30" s="34">
        <f t="shared" si="58"/>
        <v>3676.2648374340497</v>
      </c>
      <c r="K30" s="34">
        <f t="shared" si="58"/>
        <v>3676.2648374340497</v>
      </c>
      <c r="L30" s="34">
        <f t="shared" si="58"/>
        <v>3676.2648374340497</v>
      </c>
      <c r="M30" s="34">
        <f t="shared" si="58"/>
        <v>3676.2648374340497</v>
      </c>
      <c r="N30" s="34">
        <f t="shared" si="58"/>
        <v>3676.2648374346318</v>
      </c>
      <c r="O30" s="34">
        <f t="shared" si="58"/>
        <v>-309236.17981243005</v>
      </c>
      <c r="P30" s="34">
        <f t="shared" si="58"/>
        <v>-309236.17981243017</v>
      </c>
      <c r="Q30" s="34">
        <f t="shared" si="58"/>
        <v>-309236.17981243017</v>
      </c>
      <c r="R30" s="34">
        <f t="shared" si="58"/>
        <v>-309236.17981242994</v>
      </c>
      <c r="S30" s="34">
        <f t="shared" si="58"/>
        <v>-309236.17981242994</v>
      </c>
      <c r="T30" s="34">
        <f t="shared" si="58"/>
        <v>-309236.17981242994</v>
      </c>
      <c r="U30" s="34">
        <f t="shared" si="58"/>
        <v>-309236.17981242994</v>
      </c>
      <c r="V30" s="34">
        <f t="shared" si="58"/>
        <v>-309236.17981242994</v>
      </c>
      <c r="W30" s="34">
        <f t="shared" si="58"/>
        <v>-309236.17981242994</v>
      </c>
      <c r="X30" s="34">
        <f t="shared" si="58"/>
        <v>-309236.17981242994</v>
      </c>
      <c r="Y30" s="34">
        <f t="shared" si="58"/>
        <v>-309236.17981242994</v>
      </c>
      <c r="Z30" s="34">
        <f t="shared" si="58"/>
        <v>-309236.1798124304</v>
      </c>
      <c r="AA30" s="34">
        <f t="shared" si="58"/>
        <v>-150379.79876646865</v>
      </c>
      <c r="AB30" s="34">
        <f t="shared" si="58"/>
        <v>-150379.79876646865</v>
      </c>
      <c r="AC30" s="34">
        <f t="shared" si="58"/>
        <v>-150379.79876646865</v>
      </c>
      <c r="AD30" s="34">
        <f t="shared" si="58"/>
        <v>-150379.79876646865</v>
      </c>
      <c r="AE30" s="34">
        <f t="shared" si="58"/>
        <v>-150379.79876646865</v>
      </c>
      <c r="AF30" s="34">
        <f t="shared" si="58"/>
        <v>-150379.79876646865</v>
      </c>
      <c r="AG30" s="34">
        <f t="shared" si="58"/>
        <v>-150379.79876646865</v>
      </c>
      <c r="AH30" s="34">
        <f t="shared" si="58"/>
        <v>-150379.79876646865</v>
      </c>
      <c r="AI30" s="34">
        <f t="shared" si="58"/>
        <v>-150379.79876646865</v>
      </c>
      <c r="AJ30" s="34">
        <f t="shared" si="58"/>
        <v>-150379.79876646865</v>
      </c>
      <c r="AK30" s="34">
        <f t="shared" si="58"/>
        <v>-150379.79876646865</v>
      </c>
      <c r="AL30" s="34">
        <f t="shared" si="58"/>
        <v>-150379.79876647331</v>
      </c>
      <c r="AM30" s="34">
        <f t="shared" si="45"/>
        <v>4197.4720600321889</v>
      </c>
      <c r="AN30" s="34">
        <f t="shared" si="46"/>
        <v>4197.4720600321889</v>
      </c>
      <c r="AO30" s="34">
        <f t="shared" si="47"/>
        <v>4197.4720600321889</v>
      </c>
      <c r="AP30" s="34">
        <f t="shared" si="48"/>
        <v>4197.4720600321889</v>
      </c>
      <c r="AQ30" s="34">
        <f t="shared" si="49"/>
        <v>4197.4720600321889</v>
      </c>
      <c r="AR30" s="34">
        <f t="shared" si="50"/>
        <v>4197.4720600321889</v>
      </c>
      <c r="AS30" s="34">
        <f t="shared" si="51"/>
        <v>4197.4720600321889</v>
      </c>
      <c r="AT30" s="34">
        <f t="shared" si="52"/>
        <v>4197.4720600321889</v>
      </c>
      <c r="AU30" s="34">
        <f t="shared" si="53"/>
        <v>4197.4720600321889</v>
      </c>
      <c r="AV30" s="34">
        <f t="shared" si="54"/>
        <v>4197.4720600321889</v>
      </c>
      <c r="AW30" s="34">
        <f t="shared" si="55"/>
        <v>4197.4720600321889</v>
      </c>
      <c r="AX30" s="34">
        <f t="shared" si="56"/>
        <v>4197.4720600312576</v>
      </c>
    </row>
    <row r="31" spans="1:50" s="6" customFormat="1" x14ac:dyDescent="0.25">
      <c r="C31" s="34">
        <f t="shared" ref="C31:AL31" si="59">+C25-B25</f>
        <v>-506498.79573497485</v>
      </c>
      <c r="D31" s="34">
        <f t="shared" si="59"/>
        <v>-506498.79573497485</v>
      </c>
      <c r="E31" s="34">
        <f t="shared" si="59"/>
        <v>-506498.7957349749</v>
      </c>
      <c r="F31" s="34">
        <f t="shared" si="59"/>
        <v>-506498.79573497479</v>
      </c>
      <c r="G31" s="34">
        <f t="shared" si="59"/>
        <v>-506498.79573497479</v>
      </c>
      <c r="H31" s="34">
        <f t="shared" si="59"/>
        <v>-506498.79573497502</v>
      </c>
      <c r="I31" s="34">
        <f t="shared" si="59"/>
        <v>-506498.79573497502</v>
      </c>
      <c r="J31" s="34">
        <f t="shared" si="59"/>
        <v>-506498.79573497502</v>
      </c>
      <c r="K31" s="34">
        <f t="shared" si="59"/>
        <v>-506498.79573497502</v>
      </c>
      <c r="L31" s="34">
        <f t="shared" si="59"/>
        <v>-506498.79573497456</v>
      </c>
      <c r="M31" s="34">
        <f t="shared" si="59"/>
        <v>-506498.79573497456</v>
      </c>
      <c r="N31" s="34">
        <f t="shared" si="59"/>
        <v>-506498.79573497456</v>
      </c>
      <c r="O31" s="34">
        <f t="shared" si="59"/>
        <v>453344.48027831409</v>
      </c>
      <c r="P31" s="34">
        <f t="shared" si="59"/>
        <v>453344.48027831409</v>
      </c>
      <c r="Q31" s="34">
        <f t="shared" si="59"/>
        <v>453344.48027831409</v>
      </c>
      <c r="R31" s="34">
        <f t="shared" si="59"/>
        <v>453344.48027831409</v>
      </c>
      <c r="S31" s="34">
        <f t="shared" si="59"/>
        <v>453344.48027831409</v>
      </c>
      <c r="T31" s="34">
        <f t="shared" si="59"/>
        <v>453344.48027831409</v>
      </c>
      <c r="U31" s="34">
        <f t="shared" si="59"/>
        <v>453344.48027831409</v>
      </c>
      <c r="V31" s="34">
        <f t="shared" si="59"/>
        <v>453344.48027831409</v>
      </c>
      <c r="W31" s="34">
        <f t="shared" si="59"/>
        <v>453344.48027831432</v>
      </c>
      <c r="X31" s="34">
        <f t="shared" si="59"/>
        <v>453344.48027831432</v>
      </c>
      <c r="Y31" s="34">
        <f t="shared" si="59"/>
        <v>453344.48027831432</v>
      </c>
      <c r="Z31" s="34">
        <f t="shared" si="59"/>
        <v>453344.48027831427</v>
      </c>
      <c r="AA31" s="34">
        <f t="shared" si="59"/>
        <v>-4376.6099926068564</v>
      </c>
      <c r="AB31" s="34">
        <f t="shared" si="59"/>
        <v>-4376.6099926068564</v>
      </c>
      <c r="AC31" s="34">
        <f t="shared" si="59"/>
        <v>-4376.6099926068564</v>
      </c>
      <c r="AD31" s="34">
        <f t="shared" si="59"/>
        <v>-4376.6099926068564</v>
      </c>
      <c r="AE31" s="34">
        <f t="shared" si="59"/>
        <v>-4376.6099926068564</v>
      </c>
      <c r="AF31" s="34">
        <f t="shared" si="59"/>
        <v>-4376.6099926068564</v>
      </c>
      <c r="AG31" s="34">
        <f t="shared" si="59"/>
        <v>-4376.6099926068564</v>
      </c>
      <c r="AH31" s="34">
        <f t="shared" si="59"/>
        <v>-4376.6099926068564</v>
      </c>
      <c r="AI31" s="34">
        <f t="shared" si="59"/>
        <v>-4376.6099926068564</v>
      </c>
      <c r="AJ31" s="34">
        <f t="shared" si="59"/>
        <v>-4376.6099926068564</v>
      </c>
      <c r="AK31" s="34">
        <f t="shared" si="59"/>
        <v>-4376.6099926068564</v>
      </c>
      <c r="AL31" s="34">
        <f t="shared" si="59"/>
        <v>-4376.6099926071474</v>
      </c>
      <c r="AM31" s="34">
        <f t="shared" si="45"/>
        <v>24049.412757725862</v>
      </c>
      <c r="AN31" s="34">
        <f t="shared" si="46"/>
        <v>24049.412757725862</v>
      </c>
      <c r="AO31" s="34">
        <f t="shared" si="47"/>
        <v>24049.412757725862</v>
      </c>
      <c r="AP31" s="34">
        <f t="shared" si="48"/>
        <v>24049.412757725862</v>
      </c>
      <c r="AQ31" s="34">
        <f t="shared" si="49"/>
        <v>24049.412757725862</v>
      </c>
      <c r="AR31" s="34">
        <f t="shared" si="50"/>
        <v>24049.412757725862</v>
      </c>
      <c r="AS31" s="34">
        <f t="shared" si="51"/>
        <v>24049.412757725862</v>
      </c>
      <c r="AT31" s="34">
        <f t="shared" si="52"/>
        <v>24049.412757725862</v>
      </c>
      <c r="AU31" s="34">
        <f t="shared" si="53"/>
        <v>24049.412757725862</v>
      </c>
      <c r="AV31" s="34">
        <f t="shared" si="54"/>
        <v>24049.412757725862</v>
      </c>
      <c r="AW31" s="34">
        <f t="shared" si="55"/>
        <v>24049.412757725862</v>
      </c>
      <c r="AX31" s="34">
        <f t="shared" si="56"/>
        <v>24049.412757726037</v>
      </c>
    </row>
    <row r="32" spans="1:50" s="6" customFormat="1" x14ac:dyDescent="0.25">
      <c r="C32" s="34">
        <f t="shared" ref="C32:AL32" si="60">+C26-B26</f>
        <v>-1182502.72936083</v>
      </c>
      <c r="D32" s="34">
        <f t="shared" si="60"/>
        <v>-1182502.72936083</v>
      </c>
      <c r="E32" s="34">
        <f t="shared" si="60"/>
        <v>-1182502.72936083</v>
      </c>
      <c r="F32" s="34">
        <f t="shared" si="60"/>
        <v>-1182502.72936083</v>
      </c>
      <c r="G32" s="34">
        <f t="shared" si="60"/>
        <v>-1182502.7293608338</v>
      </c>
      <c r="H32" s="34">
        <f t="shared" si="60"/>
        <v>-1182502.72936083</v>
      </c>
      <c r="I32" s="34">
        <f t="shared" si="60"/>
        <v>-1182502.72936083</v>
      </c>
      <c r="J32" s="34">
        <f t="shared" si="60"/>
        <v>-1182502.7293608338</v>
      </c>
      <c r="K32" s="34">
        <f t="shared" si="60"/>
        <v>-1182502.7293608263</v>
      </c>
      <c r="L32" s="34">
        <f t="shared" si="60"/>
        <v>-1182502.72936083</v>
      </c>
      <c r="M32" s="34">
        <f t="shared" si="60"/>
        <v>-1182502.72936083</v>
      </c>
      <c r="N32" s="34">
        <f t="shared" si="60"/>
        <v>-1182502.7293608338</v>
      </c>
      <c r="O32" s="34">
        <f t="shared" si="60"/>
        <v>-536529.43181028217</v>
      </c>
      <c r="P32" s="34">
        <f t="shared" si="60"/>
        <v>-536529.43181028217</v>
      </c>
      <c r="Q32" s="34">
        <f t="shared" si="60"/>
        <v>-536529.4318102859</v>
      </c>
      <c r="R32" s="34">
        <f t="shared" si="60"/>
        <v>-536529.4318102859</v>
      </c>
      <c r="S32" s="34">
        <f t="shared" si="60"/>
        <v>-536529.43181028217</v>
      </c>
      <c r="T32" s="34">
        <f t="shared" si="60"/>
        <v>-536529.43181028217</v>
      </c>
      <c r="U32" s="34">
        <f t="shared" si="60"/>
        <v>-536529.43181028962</v>
      </c>
      <c r="V32" s="34">
        <f t="shared" si="60"/>
        <v>-536529.43181027472</v>
      </c>
      <c r="W32" s="34">
        <f t="shared" si="60"/>
        <v>-536529.43181028962</v>
      </c>
      <c r="X32" s="34">
        <f t="shared" si="60"/>
        <v>-536529.43181028217</v>
      </c>
      <c r="Y32" s="34">
        <f t="shared" si="60"/>
        <v>-536529.43181028962</v>
      </c>
      <c r="Z32" s="34">
        <f t="shared" si="60"/>
        <v>-536529.43181027472</v>
      </c>
      <c r="AA32" s="34">
        <f t="shared" si="60"/>
        <v>-1111051.0635332465</v>
      </c>
      <c r="AB32" s="34">
        <f t="shared" si="60"/>
        <v>-1111051.0635332391</v>
      </c>
      <c r="AC32" s="34">
        <f t="shared" si="60"/>
        <v>-1111051.0635332391</v>
      </c>
      <c r="AD32" s="34">
        <f t="shared" si="60"/>
        <v>-1111051.0635332391</v>
      </c>
      <c r="AE32" s="34">
        <f t="shared" si="60"/>
        <v>-1111051.0635332465</v>
      </c>
      <c r="AF32" s="34">
        <f t="shared" si="60"/>
        <v>-1111051.0635332316</v>
      </c>
      <c r="AG32" s="34">
        <f t="shared" si="60"/>
        <v>-1111051.0635332391</v>
      </c>
      <c r="AH32" s="34">
        <f t="shared" si="60"/>
        <v>-1111051.0635332391</v>
      </c>
      <c r="AI32" s="34">
        <f t="shared" si="60"/>
        <v>-1111051.0635332465</v>
      </c>
      <c r="AJ32" s="34">
        <f t="shared" si="60"/>
        <v>-1111051.0635332465</v>
      </c>
      <c r="AK32" s="34">
        <f t="shared" si="60"/>
        <v>-1111051.0635332316</v>
      </c>
      <c r="AL32" s="34">
        <f t="shared" si="60"/>
        <v>-1111051.0635332465</v>
      </c>
      <c r="AM32" s="34">
        <f t="shared" si="45"/>
        <v>-604341.69521418214</v>
      </c>
      <c r="AN32" s="34">
        <f t="shared" si="46"/>
        <v>-604341.69521418214</v>
      </c>
      <c r="AO32" s="34">
        <f t="shared" si="47"/>
        <v>-604341.69521416724</v>
      </c>
      <c r="AP32" s="34">
        <f t="shared" si="48"/>
        <v>-604341.69521418214</v>
      </c>
      <c r="AQ32" s="34">
        <f t="shared" si="49"/>
        <v>-604341.69521417469</v>
      </c>
      <c r="AR32" s="34">
        <f t="shared" si="50"/>
        <v>-604341.69521418214</v>
      </c>
      <c r="AS32" s="34">
        <f t="shared" si="51"/>
        <v>-604341.69521418214</v>
      </c>
      <c r="AT32" s="34">
        <f t="shared" si="52"/>
        <v>-604341.69521418214</v>
      </c>
      <c r="AU32" s="34">
        <f t="shared" si="53"/>
        <v>-604341.69521418214</v>
      </c>
      <c r="AV32" s="34">
        <f t="shared" si="54"/>
        <v>-604341.69521417469</v>
      </c>
      <c r="AW32" s="34">
        <f t="shared" si="55"/>
        <v>-604341.69521418214</v>
      </c>
      <c r="AX32" s="34">
        <f t="shared" si="56"/>
        <v>-604341.69521418214</v>
      </c>
    </row>
    <row r="33" spans="1:50" s="6" customFormat="1" ht="15.75" thickBot="1" x14ac:dyDescent="0.3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50" s="6" customFormat="1" x14ac:dyDescent="0.25">
      <c r="M34" s="102"/>
      <c r="N34" s="101"/>
    </row>
    <row r="35" spans="1:50" s="6" customFormat="1" x14ac:dyDescent="0.25">
      <c r="M35" s="97"/>
      <c r="N35" s="83">
        <f t="shared" ref="N35:AK35" si="61">N21</f>
        <v>44531</v>
      </c>
      <c r="O35" s="90">
        <f t="shared" si="61"/>
        <v>44562</v>
      </c>
      <c r="P35" s="90">
        <f t="shared" si="61"/>
        <v>44593</v>
      </c>
      <c r="Q35" s="90">
        <f t="shared" si="61"/>
        <v>44621</v>
      </c>
      <c r="R35" s="90">
        <f t="shared" si="61"/>
        <v>44652</v>
      </c>
      <c r="S35" s="90">
        <f t="shared" si="61"/>
        <v>44682</v>
      </c>
      <c r="T35" s="90">
        <f t="shared" si="61"/>
        <v>44713</v>
      </c>
      <c r="U35" s="90">
        <f t="shared" si="61"/>
        <v>44743</v>
      </c>
      <c r="V35" s="90">
        <f t="shared" si="61"/>
        <v>44774</v>
      </c>
      <c r="W35" s="90">
        <f t="shared" si="61"/>
        <v>44805</v>
      </c>
      <c r="X35" s="90">
        <f t="shared" si="61"/>
        <v>44835</v>
      </c>
      <c r="Y35" s="90">
        <f t="shared" si="61"/>
        <v>44866</v>
      </c>
      <c r="Z35" s="90">
        <f t="shared" si="61"/>
        <v>44896</v>
      </c>
      <c r="AA35" s="90">
        <f t="shared" si="61"/>
        <v>44927</v>
      </c>
      <c r="AB35" s="90">
        <f t="shared" si="61"/>
        <v>44958</v>
      </c>
      <c r="AC35" s="90">
        <f t="shared" si="61"/>
        <v>44986</v>
      </c>
      <c r="AD35" s="90">
        <f t="shared" si="61"/>
        <v>45017</v>
      </c>
      <c r="AE35" s="90">
        <f t="shared" si="61"/>
        <v>45047</v>
      </c>
      <c r="AF35" s="90">
        <f t="shared" si="61"/>
        <v>45078</v>
      </c>
      <c r="AG35" s="90">
        <f t="shared" si="61"/>
        <v>45108</v>
      </c>
      <c r="AH35" s="90">
        <f t="shared" si="61"/>
        <v>45139</v>
      </c>
      <c r="AI35" s="90">
        <f t="shared" si="61"/>
        <v>45170</v>
      </c>
      <c r="AJ35" s="90">
        <f t="shared" si="61"/>
        <v>45200</v>
      </c>
      <c r="AK35" s="90">
        <f t="shared" si="61"/>
        <v>45231</v>
      </c>
      <c r="AL35" s="40">
        <v>45261</v>
      </c>
      <c r="AM35" s="40">
        <v>45292</v>
      </c>
      <c r="AN35" s="40">
        <v>45323</v>
      </c>
      <c r="AO35" s="40">
        <v>45352</v>
      </c>
      <c r="AP35" s="40">
        <v>45383</v>
      </c>
      <c r="AQ35" s="40">
        <v>45413</v>
      </c>
      <c r="AR35" s="40">
        <v>45444</v>
      </c>
      <c r="AS35" s="40">
        <v>45474</v>
      </c>
      <c r="AT35" s="40">
        <v>45505</v>
      </c>
      <c r="AU35" s="40">
        <v>45536</v>
      </c>
      <c r="AV35" s="40">
        <v>45566</v>
      </c>
      <c r="AW35" s="40">
        <v>45597</v>
      </c>
      <c r="AX35" s="40">
        <v>45627</v>
      </c>
    </row>
    <row r="36" spans="1:50" s="6" customFormat="1" x14ac:dyDescent="0.25">
      <c r="M36" s="100" t="s">
        <v>68</v>
      </c>
      <c r="N36" s="99" t="s">
        <v>29</v>
      </c>
      <c r="O36" s="98" t="s">
        <v>29</v>
      </c>
      <c r="P36" s="98" t="s">
        <v>29</v>
      </c>
      <c r="Q36" s="98" t="s">
        <v>29</v>
      </c>
      <c r="R36" s="98" t="s">
        <v>29</v>
      </c>
      <c r="S36" s="98" t="s">
        <v>29</v>
      </c>
      <c r="T36" s="98" t="s">
        <v>29</v>
      </c>
      <c r="U36" s="98" t="s">
        <v>29</v>
      </c>
      <c r="V36" s="98" t="s">
        <v>29</v>
      </c>
      <c r="W36" s="98" t="s">
        <v>29</v>
      </c>
      <c r="X36" s="98" t="s">
        <v>29</v>
      </c>
      <c r="Y36" s="98" t="s">
        <v>29</v>
      </c>
      <c r="Z36" s="98" t="s">
        <v>29</v>
      </c>
      <c r="AA36" s="98" t="s">
        <v>29</v>
      </c>
      <c r="AB36" s="98" t="s">
        <v>29</v>
      </c>
      <c r="AC36" s="98" t="s">
        <v>29</v>
      </c>
      <c r="AD36" s="98" t="s">
        <v>29</v>
      </c>
      <c r="AE36" s="98" t="s">
        <v>29</v>
      </c>
      <c r="AF36" s="98" t="s">
        <v>29</v>
      </c>
      <c r="AG36" s="98" t="s">
        <v>29</v>
      </c>
      <c r="AH36" s="98" t="s">
        <v>29</v>
      </c>
      <c r="AI36" s="98" t="s">
        <v>29</v>
      </c>
      <c r="AJ36" s="98" t="s">
        <v>29</v>
      </c>
      <c r="AK36" s="98" t="s">
        <v>29</v>
      </c>
      <c r="AL36" s="98" t="s">
        <v>29</v>
      </c>
      <c r="AM36" s="98" t="s">
        <v>29</v>
      </c>
      <c r="AN36" s="98" t="s">
        <v>29</v>
      </c>
      <c r="AO36" s="98" t="s">
        <v>29</v>
      </c>
      <c r="AP36" s="98" t="s">
        <v>29</v>
      </c>
      <c r="AQ36" s="98" t="s">
        <v>29</v>
      </c>
      <c r="AR36" s="98" t="s">
        <v>29</v>
      </c>
      <c r="AS36" s="98" t="s">
        <v>29</v>
      </c>
      <c r="AT36" s="98" t="s">
        <v>29</v>
      </c>
      <c r="AU36" s="98" t="s">
        <v>29</v>
      </c>
      <c r="AV36" s="98" t="s">
        <v>29</v>
      </c>
      <c r="AW36" s="98" t="s">
        <v>29</v>
      </c>
      <c r="AX36" s="98" t="s">
        <v>29</v>
      </c>
    </row>
    <row r="37" spans="1:50" s="6" customFormat="1" x14ac:dyDescent="0.25">
      <c r="M37" s="97" t="s">
        <v>21</v>
      </c>
      <c r="N37" s="78">
        <f t="shared" ref="N37:W40" si="62">((B22+N22)+(2*(SUM(C22:M22))))/24</f>
        <v>-14378490.743185105</v>
      </c>
      <c r="O37" s="80">
        <f t="shared" si="62"/>
        <v>-14801638.135333093</v>
      </c>
      <c r="P37" s="80">
        <f t="shared" si="62"/>
        <v>-15224943.705736399</v>
      </c>
      <c r="Q37" s="80">
        <f t="shared" si="62"/>
        <v>-15648407.454395026</v>
      </c>
      <c r="R37" s="80">
        <f t="shared" si="62"/>
        <v>-16072029.38130898</v>
      </c>
      <c r="S37" s="80">
        <f t="shared" si="62"/>
        <v>-16495809.486478252</v>
      </c>
      <c r="T37" s="80">
        <f t="shared" si="62"/>
        <v>-16919747.769902851</v>
      </c>
      <c r="U37" s="80">
        <f t="shared" si="62"/>
        <v>-17343844.231582768</v>
      </c>
      <c r="V37" s="80">
        <f t="shared" si="62"/>
        <v>-17768098.871518008</v>
      </c>
      <c r="W37" s="80">
        <f t="shared" si="62"/>
        <v>-18192511.689708576</v>
      </c>
      <c r="X37" s="80">
        <f t="shared" ref="X37:AG40" si="63">((L22+X22)+(2*(SUM(M22:W22))))/24</f>
        <v>-18617082.686154459</v>
      </c>
      <c r="Y37" s="80">
        <f t="shared" si="63"/>
        <v>-19041811.860855673</v>
      </c>
      <c r="Z37" s="80">
        <f t="shared" si="63"/>
        <v>-19466699.213812202</v>
      </c>
      <c r="AA37" s="80">
        <f t="shared" si="63"/>
        <v>-19902165.589076493</v>
      </c>
      <c r="AB37" s="80">
        <f t="shared" si="63"/>
        <v>-20358631.83070099</v>
      </c>
      <c r="AC37" s="80">
        <f t="shared" si="63"/>
        <v>-20836097.938685674</v>
      </c>
      <c r="AD37" s="80">
        <f t="shared" si="63"/>
        <v>-21334563.913030565</v>
      </c>
      <c r="AE37" s="80">
        <f t="shared" si="63"/>
        <v>-21854029.75373565</v>
      </c>
      <c r="AF37" s="80">
        <f t="shared" si="63"/>
        <v>-22394495.460800935</v>
      </c>
      <c r="AG37" s="80">
        <f t="shared" si="63"/>
        <v>-22955961.034226418</v>
      </c>
      <c r="AH37" s="80">
        <f t="shared" ref="AH37:AL40" si="64">((V22+AH22)+(2*(SUM(W22:AG22))))/24</f>
        <v>-23538426.474012107</v>
      </c>
      <c r="AI37" s="80">
        <f t="shared" si="64"/>
        <v>-24141891.780157987</v>
      </c>
      <c r="AJ37" s="80">
        <f t="shared" si="64"/>
        <v>-24766356.952664066</v>
      </c>
      <c r="AK37" s="80">
        <f t="shared" si="64"/>
        <v>-25411821.991530348</v>
      </c>
      <c r="AL37" s="80">
        <f t="shared" si="64"/>
        <v>-26078286.896756824</v>
      </c>
      <c r="AM37" s="80">
        <f t="shared" ref="AM37:AM40" si="65">((AA22+AM22)+(2*(SUM(AB22:AL22))))/24</f>
        <v>-26746131.998516992</v>
      </c>
      <c r="AN37" s="80">
        <f t="shared" ref="AN37:AN40" si="66">((AB22+AN22)+(2*(SUM(AC22:AM22))))/24</f>
        <v>-27395737.626984343</v>
      </c>
      <c r="AO37" s="80">
        <f t="shared" ref="AO37:AO40" si="67">((AC22+AO22)+(2*(SUM(AD22:AN22))))/24</f>
        <v>-28027103.782158878</v>
      </c>
      <c r="AP37" s="80">
        <f t="shared" ref="AP37:AP40" si="68">((AD22+AP22)+(2*(SUM(AE22:AO22))))/24</f>
        <v>-28640230.464040592</v>
      </c>
      <c r="AQ37" s="80">
        <f t="shared" ref="AQ37:AQ40" si="69">((AE22+AQ22)+(2*(SUM(AF22:AP22))))/24</f>
        <v>-29235117.672629487</v>
      </c>
      <c r="AR37" s="80">
        <f t="shared" ref="AR37:AR40" si="70">((AF22+AR22)+(2*(SUM(AG22:AQ22))))/24</f>
        <v>-29811765.407925561</v>
      </c>
      <c r="AS37" s="80">
        <f t="shared" ref="AS37:AS40" si="71">((AG22+AS22)+(2*(SUM(AH22:AR22))))/24</f>
        <v>-30370173.669928815</v>
      </c>
      <c r="AT37" s="80">
        <f t="shared" ref="AT37:AT40" si="72">((AH22+AT22)+(2*(SUM(AI22:AS22))))/24</f>
        <v>-30910342.458639249</v>
      </c>
      <c r="AU37" s="80">
        <f t="shared" ref="AU37:AU40" si="73">((AI22+AU22)+(2*(SUM(AJ22:AT22))))/24</f>
        <v>-31432271.77405687</v>
      </c>
      <c r="AV37" s="80">
        <f t="shared" ref="AV37:AV40" si="74">((AJ22+AV22)+(2*(SUM(AK22:AU22))))/24</f>
        <v>-31935961.616181675</v>
      </c>
      <c r="AW37" s="80">
        <f t="shared" ref="AW37:AW40" si="75">((AK22+AW22)+(2*(SUM(AL22:AV22))))/24</f>
        <v>-32421411.985013653</v>
      </c>
      <c r="AX37" s="80">
        <f t="shared" ref="AX37:AX40" si="76">((AL22+AX22)+(2*(SUM(AM22:AW22))))/24</f>
        <v>-32888622.880552817</v>
      </c>
    </row>
    <row r="38" spans="1:50" s="6" customFormat="1" x14ac:dyDescent="0.25">
      <c r="M38" s="97" t="s">
        <v>22</v>
      </c>
      <c r="N38" s="78">
        <f t="shared" si="62"/>
        <v>-5831427.1051827893</v>
      </c>
      <c r="O38" s="80">
        <f t="shared" si="62"/>
        <v>-6087999.8087402983</v>
      </c>
      <c r="P38" s="80">
        <f t="shared" si="62"/>
        <v>-6344494.1285268925</v>
      </c>
      <c r="Q38" s="80">
        <f t="shared" si="62"/>
        <v>-6600910.0645425702</v>
      </c>
      <c r="R38" s="80">
        <f t="shared" si="62"/>
        <v>-6857247.6167873302</v>
      </c>
      <c r="S38" s="80">
        <f t="shared" si="62"/>
        <v>-7113506.7852611765</v>
      </c>
      <c r="T38" s="80">
        <f t="shared" si="62"/>
        <v>-7369687.5699641043</v>
      </c>
      <c r="U38" s="80">
        <f t="shared" si="62"/>
        <v>-7625789.9708961174</v>
      </c>
      <c r="V38" s="80">
        <f t="shared" si="62"/>
        <v>-7881813.9880572148</v>
      </c>
      <c r="W38" s="80">
        <f t="shared" si="62"/>
        <v>-8137759.6214473965</v>
      </c>
      <c r="X38" s="80">
        <f t="shared" si="63"/>
        <v>-8393626.8710666616</v>
      </c>
      <c r="Y38" s="80">
        <f t="shared" si="63"/>
        <v>-8649415.7369150091</v>
      </c>
      <c r="Z38" s="80">
        <f t="shared" si="63"/>
        <v>-8905126.2189924438</v>
      </c>
      <c r="AA38" s="80">
        <f t="shared" si="63"/>
        <v>-9161783.2811084036</v>
      </c>
      <c r="AB38" s="80">
        <f t="shared" si="63"/>
        <v>-9420411.8870723285</v>
      </c>
      <c r="AC38" s="80">
        <f t="shared" si="63"/>
        <v>-9681012.0368842222</v>
      </c>
      <c r="AD38" s="80">
        <f t="shared" si="63"/>
        <v>-9943583.7305440828</v>
      </c>
      <c r="AE38" s="80">
        <f t="shared" si="63"/>
        <v>-10208126.968051912</v>
      </c>
      <c r="AF38" s="80">
        <f t="shared" si="63"/>
        <v>-10474641.749407711</v>
      </c>
      <c r="AG38" s="80">
        <f t="shared" si="63"/>
        <v>-10743128.074611476</v>
      </c>
      <c r="AH38" s="80">
        <f t="shared" si="64"/>
        <v>-11013585.943663208</v>
      </c>
      <c r="AI38" s="80">
        <f t="shared" si="64"/>
        <v>-11286015.356562907</v>
      </c>
      <c r="AJ38" s="80">
        <f t="shared" si="64"/>
        <v>-11560416.313310577</v>
      </c>
      <c r="AK38" s="80">
        <f t="shared" si="64"/>
        <v>-11836788.81390621</v>
      </c>
      <c r="AL38" s="80">
        <f t="shared" si="64"/>
        <v>-12115132.858349815</v>
      </c>
      <c r="AM38" s="80">
        <f t="shared" si="65"/>
        <v>-12390094.658249551</v>
      </c>
      <c r="AN38" s="80">
        <f t="shared" si="66"/>
        <v>-12656320.425213588</v>
      </c>
      <c r="AO38" s="80">
        <f t="shared" si="67"/>
        <v>-12913810.159241924</v>
      </c>
      <c r="AP38" s="80">
        <f t="shared" si="68"/>
        <v>-13162563.86033456</v>
      </c>
      <c r="AQ38" s="80">
        <f t="shared" si="69"/>
        <v>-13402581.528491495</v>
      </c>
      <c r="AR38" s="80">
        <f t="shared" si="70"/>
        <v>-13633863.163712731</v>
      </c>
      <c r="AS38" s="80">
        <f t="shared" si="71"/>
        <v>-13856408.765998265</v>
      </c>
      <c r="AT38" s="80">
        <f t="shared" si="72"/>
        <v>-14070218.335348099</v>
      </c>
      <c r="AU38" s="80">
        <f t="shared" si="73"/>
        <v>-14275291.871762233</v>
      </c>
      <c r="AV38" s="80">
        <f t="shared" si="74"/>
        <v>-14471629.375240667</v>
      </c>
      <c r="AW38" s="80">
        <f t="shared" si="75"/>
        <v>-14659230.845783399</v>
      </c>
      <c r="AX38" s="80">
        <f t="shared" si="76"/>
        <v>-14838096.283390431</v>
      </c>
    </row>
    <row r="39" spans="1:50" s="6" customFormat="1" x14ac:dyDescent="0.25">
      <c r="M39" s="97" t="s">
        <v>23</v>
      </c>
      <c r="N39" s="78">
        <f t="shared" si="62"/>
        <v>-1013612.8704968967</v>
      </c>
      <c r="O39" s="80">
        <f t="shared" si="62"/>
        <v>-1022974.62418654</v>
      </c>
      <c r="P39" s="80">
        <f t="shared" si="62"/>
        <v>-1058412.414930339</v>
      </c>
      <c r="Q39" s="80">
        <f t="shared" si="62"/>
        <v>-1119926.2427282932</v>
      </c>
      <c r="R39" s="80">
        <f t="shared" si="62"/>
        <v>-1207516.1075804031</v>
      </c>
      <c r="S39" s="80">
        <f t="shared" si="62"/>
        <v>-1321182.0094866678</v>
      </c>
      <c r="T39" s="80">
        <f t="shared" si="62"/>
        <v>-1460923.948447088</v>
      </c>
      <c r="U39" s="80">
        <f t="shared" si="62"/>
        <v>-1626741.9244616637</v>
      </c>
      <c r="V39" s="80">
        <f t="shared" si="62"/>
        <v>-1818635.9375303946</v>
      </c>
      <c r="W39" s="80">
        <f t="shared" si="62"/>
        <v>-2036605.9876532808</v>
      </c>
      <c r="X39" s="80">
        <f t="shared" si="63"/>
        <v>-2280652.0748303225</v>
      </c>
      <c r="Y39" s="80">
        <f t="shared" si="63"/>
        <v>-2550774.1990615199</v>
      </c>
      <c r="Z39" s="80">
        <f t="shared" si="63"/>
        <v>-2846972.3603468719</v>
      </c>
      <c r="AA39" s="80">
        <f t="shared" si="63"/>
        <v>-3149589.524282387</v>
      </c>
      <c r="AB39" s="80">
        <f t="shared" si="63"/>
        <v>-3438968.6564640719</v>
      </c>
      <c r="AC39" s="80">
        <f t="shared" si="63"/>
        <v>-3715109.7568919263</v>
      </c>
      <c r="AD39" s="80">
        <f t="shared" si="63"/>
        <v>-3978012.8255659509</v>
      </c>
      <c r="AE39" s="80">
        <f t="shared" si="63"/>
        <v>-4227677.8624861455</v>
      </c>
      <c r="AF39" s="80">
        <f t="shared" si="63"/>
        <v>-4464104.8676525094</v>
      </c>
      <c r="AG39" s="80">
        <f t="shared" si="63"/>
        <v>-4687293.8410650436</v>
      </c>
      <c r="AH39" s="80">
        <f t="shared" si="64"/>
        <v>-4897244.7827237481</v>
      </c>
      <c r="AI39" s="80">
        <f t="shared" si="64"/>
        <v>-5093957.6926286221</v>
      </c>
      <c r="AJ39" s="80">
        <f t="shared" si="64"/>
        <v>-5277432.5707796672</v>
      </c>
      <c r="AK39" s="80">
        <f t="shared" si="64"/>
        <v>-5447669.4171768809</v>
      </c>
      <c r="AL39" s="80">
        <f t="shared" si="64"/>
        <v>-5604668.2318202639</v>
      </c>
      <c r="AM39" s="80">
        <f t="shared" si="65"/>
        <v>-5748607.3109689625</v>
      </c>
      <c r="AN39" s="80">
        <f t="shared" si="66"/>
        <v>-5879664.9508821191</v>
      </c>
      <c r="AO39" s="80">
        <f t="shared" si="67"/>
        <v>-5997841.1515597329</v>
      </c>
      <c r="AP39" s="80">
        <f t="shared" si="68"/>
        <v>-6103135.9130018055</v>
      </c>
      <c r="AQ39" s="80">
        <f t="shared" si="69"/>
        <v>-6195549.2352083372</v>
      </c>
      <c r="AR39" s="80">
        <f t="shared" si="70"/>
        <v>-6275081.1181793259</v>
      </c>
      <c r="AS39" s="80">
        <f t="shared" si="71"/>
        <v>-6341731.5619147746</v>
      </c>
      <c r="AT39" s="80">
        <f t="shared" si="72"/>
        <v>-6395500.5664146803</v>
      </c>
      <c r="AU39" s="80">
        <f t="shared" si="73"/>
        <v>-6436388.131679046</v>
      </c>
      <c r="AV39" s="80">
        <f t="shared" si="74"/>
        <v>-6464394.2577078678</v>
      </c>
      <c r="AW39" s="80">
        <f t="shared" si="75"/>
        <v>-6479518.9445011495</v>
      </c>
      <c r="AX39" s="80">
        <f t="shared" si="76"/>
        <v>-6481762.1920588873</v>
      </c>
    </row>
    <row r="40" spans="1:50" s="6" customFormat="1" x14ac:dyDescent="0.25">
      <c r="M40" s="97" t="s">
        <v>24</v>
      </c>
      <c r="N40" s="78">
        <f t="shared" si="62"/>
        <v>-2842286.2311244453</v>
      </c>
      <c r="O40" s="80">
        <f t="shared" si="62"/>
        <v>-3308791.5570255332</v>
      </c>
      <c r="P40" s="80">
        <f t="shared" si="62"/>
        <v>-3695309.9432588462</v>
      </c>
      <c r="Q40" s="80">
        <f t="shared" si="62"/>
        <v>-4001841.3898243862</v>
      </c>
      <c r="R40" s="80">
        <f t="shared" si="62"/>
        <v>-4228385.8967221519</v>
      </c>
      <c r="S40" s="80">
        <f t="shared" si="62"/>
        <v>-4374943.4639521437</v>
      </c>
      <c r="T40" s="80">
        <f t="shared" si="62"/>
        <v>-4441514.0915143611</v>
      </c>
      <c r="U40" s="80">
        <f t="shared" si="62"/>
        <v>-4428097.7794088041</v>
      </c>
      <c r="V40" s="80">
        <f t="shared" si="62"/>
        <v>-4334694.5276354747</v>
      </c>
      <c r="W40" s="80">
        <f t="shared" si="62"/>
        <v>-4161304.3361943685</v>
      </c>
      <c r="X40" s="80">
        <f t="shared" si="63"/>
        <v>-3907927.2050854894</v>
      </c>
      <c r="Y40" s="80">
        <f t="shared" si="63"/>
        <v>-3574563.1343088355</v>
      </c>
      <c r="Z40" s="80">
        <f t="shared" si="63"/>
        <v>-3161212.12386441</v>
      </c>
      <c r="AA40" s="80">
        <f t="shared" si="63"/>
        <v>-2726939.3556807172</v>
      </c>
      <c r="AB40" s="80">
        <f t="shared" si="63"/>
        <v>-2330810.0116862678</v>
      </c>
      <c r="AC40" s="80">
        <f t="shared" si="63"/>
        <v>-1972824.0918810621</v>
      </c>
      <c r="AD40" s="80">
        <f t="shared" si="63"/>
        <v>-1652981.5962651002</v>
      </c>
      <c r="AE40" s="80">
        <f t="shared" si="63"/>
        <v>-1371282.5248383812</v>
      </c>
      <c r="AF40" s="80">
        <f t="shared" si="63"/>
        <v>-1127726.877600906</v>
      </c>
      <c r="AG40" s="80">
        <f t="shared" si="63"/>
        <v>-922314.65455267392</v>
      </c>
      <c r="AH40" s="80">
        <f t="shared" si="64"/>
        <v>-755045.85569368524</v>
      </c>
      <c r="AI40" s="80">
        <f t="shared" si="64"/>
        <v>-625920.48102394014</v>
      </c>
      <c r="AJ40" s="80">
        <f t="shared" si="64"/>
        <v>-534938.53054343839</v>
      </c>
      <c r="AK40" s="80">
        <f t="shared" si="64"/>
        <v>-482100.00425217999</v>
      </c>
      <c r="AL40" s="80">
        <f t="shared" si="64"/>
        <v>-467404.90215016529</v>
      </c>
      <c r="AM40" s="80">
        <f t="shared" si="65"/>
        <v>-470597.09452817496</v>
      </c>
      <c r="AN40" s="80">
        <f t="shared" si="66"/>
        <v>-471420.4516769902</v>
      </c>
      <c r="AO40" s="80">
        <f t="shared" si="67"/>
        <v>-469874.97359661112</v>
      </c>
      <c r="AP40" s="80">
        <f t="shared" si="68"/>
        <v>-465960.66028703755</v>
      </c>
      <c r="AQ40" s="80">
        <f t="shared" si="69"/>
        <v>-459677.51174826967</v>
      </c>
      <c r="AR40" s="80">
        <f t="shared" si="70"/>
        <v>-451025.52798030741</v>
      </c>
      <c r="AS40" s="80">
        <f t="shared" si="71"/>
        <v>-440004.70898315072</v>
      </c>
      <c r="AT40" s="80">
        <f t="shared" si="72"/>
        <v>-426615.05475679971</v>
      </c>
      <c r="AU40" s="80">
        <f t="shared" si="73"/>
        <v>-410856.56530125433</v>
      </c>
      <c r="AV40" s="80">
        <f t="shared" si="74"/>
        <v>-392729.24061651435</v>
      </c>
      <c r="AW40" s="80">
        <f t="shared" si="75"/>
        <v>-372233.0807025801</v>
      </c>
      <c r="AX40" s="80">
        <f t="shared" si="76"/>
        <v>-349368.08555945149</v>
      </c>
    </row>
    <row r="41" spans="1:50" s="6" customFormat="1" x14ac:dyDescent="0.25">
      <c r="M41" s="96" t="s">
        <v>25</v>
      </c>
      <c r="N41" s="95">
        <f t="shared" ref="N41:AL41" si="77">SUM(N37:N40)</f>
        <v>-24065816.949989233</v>
      </c>
      <c r="O41" s="94">
        <f t="shared" si="77"/>
        <v>-25221404.125285465</v>
      </c>
      <c r="P41" s="94">
        <f t="shared" si="77"/>
        <v>-26323160.192452475</v>
      </c>
      <c r="Q41" s="94">
        <f t="shared" si="77"/>
        <v>-27371085.151490275</v>
      </c>
      <c r="R41" s="94">
        <f t="shared" si="77"/>
        <v>-28365179.002398867</v>
      </c>
      <c r="S41" s="94">
        <f t="shared" si="77"/>
        <v>-29305441.745178241</v>
      </c>
      <c r="T41" s="94">
        <f t="shared" si="77"/>
        <v>-30191873.379828405</v>
      </c>
      <c r="U41" s="94">
        <f t="shared" si="77"/>
        <v>-31024473.906349353</v>
      </c>
      <c r="V41" s="94">
        <f t="shared" si="77"/>
        <v>-31803243.324741092</v>
      </c>
      <c r="W41" s="94">
        <f t="shared" si="77"/>
        <v>-32528181.635003623</v>
      </c>
      <c r="X41" s="94">
        <f t="shared" si="77"/>
        <v>-33199288.837136935</v>
      </c>
      <c r="Y41" s="94">
        <f t="shared" si="77"/>
        <v>-33816564.931141041</v>
      </c>
      <c r="Z41" s="94">
        <f t="shared" si="77"/>
        <v>-34380009.917015925</v>
      </c>
      <c r="AA41" s="94">
        <f t="shared" si="77"/>
        <v>-34940477.750148006</v>
      </c>
      <c r="AB41" s="94">
        <f t="shared" si="77"/>
        <v>-35548822.385923654</v>
      </c>
      <c r="AC41" s="94">
        <f t="shared" si="77"/>
        <v>-36205043.824342884</v>
      </c>
      <c r="AD41" s="94">
        <f t="shared" si="77"/>
        <v>-36909142.065405697</v>
      </c>
      <c r="AE41" s="94">
        <f t="shared" si="77"/>
        <v>-37661117.109112091</v>
      </c>
      <c r="AF41" s="94">
        <f t="shared" si="77"/>
        <v>-38460968.955462068</v>
      </c>
      <c r="AG41" s="94">
        <f t="shared" si="77"/>
        <v>-39308697.604455613</v>
      </c>
      <c r="AH41" s="94">
        <f t="shared" si="77"/>
        <v>-40204303.056092747</v>
      </c>
      <c r="AI41" s="94">
        <f t="shared" si="77"/>
        <v>-41147785.310373455</v>
      </c>
      <c r="AJ41" s="94">
        <f t="shared" si="77"/>
        <v>-42139144.367297746</v>
      </c>
      <c r="AK41" s="94">
        <f t="shared" si="77"/>
        <v>-43178380.226865619</v>
      </c>
      <c r="AL41" s="94">
        <f t="shared" si="77"/>
        <v>-44265492.889077067</v>
      </c>
      <c r="AM41" s="94">
        <f t="shared" ref="AM41:AX41" si="78">SUM(AM37:AM40)</f>
        <v>-45355431.062263682</v>
      </c>
      <c r="AN41" s="94">
        <f t="shared" si="78"/>
        <v>-46403143.454757042</v>
      </c>
      <c r="AO41" s="94">
        <f t="shared" si="78"/>
        <v>-47408630.066557147</v>
      </c>
      <c r="AP41" s="94">
        <f t="shared" si="78"/>
        <v>-48371890.897663996</v>
      </c>
      <c r="AQ41" s="94">
        <f t="shared" si="78"/>
        <v>-49292925.948077589</v>
      </c>
      <c r="AR41" s="94">
        <f t="shared" si="78"/>
        <v>-50171735.217797928</v>
      </c>
      <c r="AS41" s="94">
        <f t="shared" si="78"/>
        <v>-51008318.706825003</v>
      </c>
      <c r="AT41" s="94">
        <f t="shared" si="78"/>
        <v>-51802676.415158831</v>
      </c>
      <c r="AU41" s="94">
        <f t="shared" si="78"/>
        <v>-52554808.342799403</v>
      </c>
      <c r="AV41" s="94">
        <f t="shared" si="78"/>
        <v>-53264714.48974672</v>
      </c>
      <c r="AW41" s="94">
        <f t="shared" si="78"/>
        <v>-53932394.856000781</v>
      </c>
      <c r="AX41" s="94">
        <f t="shared" si="78"/>
        <v>-54557849.441561587</v>
      </c>
    </row>
    <row r="42" spans="1:50" s="6" customFormat="1" x14ac:dyDescent="0.25">
      <c r="M42" s="93" t="s">
        <v>67</v>
      </c>
      <c r="N42" s="92">
        <f t="shared" ref="N42:Z42" si="79">+N37+SUM(N$39:N$40)*$D$2</f>
        <v>-16910274.093309678</v>
      </c>
      <c r="O42" s="91">
        <f t="shared" si="79"/>
        <v>-17645875.80991694</v>
      </c>
      <c r="P42" s="91">
        <f t="shared" si="79"/>
        <v>-18346237.806123417</v>
      </c>
      <c r="Q42" s="91">
        <f t="shared" si="79"/>
        <v>-19011360.081929114</v>
      </c>
      <c r="R42" s="91">
        <f t="shared" si="79"/>
        <v>-19641242.637334038</v>
      </c>
      <c r="S42" s="91">
        <f t="shared" si="79"/>
        <v>-20235885.472338177</v>
      </c>
      <c r="T42" s="91">
        <f t="shared" si="79"/>
        <v>-20795288.58694154</v>
      </c>
      <c r="U42" s="91">
        <f t="shared" si="79"/>
        <v>-21319451.981144115</v>
      </c>
      <c r="V42" s="91">
        <f t="shared" si="79"/>
        <v>-21808375.654945917</v>
      </c>
      <c r="W42" s="91">
        <f t="shared" si="79"/>
        <v>-22262059.608346943</v>
      </c>
      <c r="X42" s="91">
        <f t="shared" si="79"/>
        <v>-22680503.84134718</v>
      </c>
      <c r="Y42" s="91">
        <f t="shared" si="79"/>
        <v>-23063708.353946649</v>
      </c>
      <c r="Z42" s="91">
        <f t="shared" si="79"/>
        <v>-23411673.146145329</v>
      </c>
      <c r="AA42" s="145">
        <f t="shared" ref="AA42:AL42" si="80">+AA37+SUM(AA$39:AA$40)*$D$3</f>
        <v>-23760694.451660268</v>
      </c>
      <c r="AB42" s="145">
        <f t="shared" si="80"/>
        <v>-24147068.504208501</v>
      </c>
      <c r="AC42" s="145">
        <f t="shared" si="80"/>
        <v>-24570795.303790018</v>
      </c>
      <c r="AD42" s="145">
        <f t="shared" si="80"/>
        <v>-25031874.850404833</v>
      </c>
      <c r="AE42" s="145">
        <f t="shared" si="80"/>
        <v>-25530307.144052934</v>
      </c>
      <c r="AF42" s="145">
        <f t="shared" si="80"/>
        <v>-26066092.184734326</v>
      </c>
      <c r="AG42" s="145">
        <f t="shared" si="80"/>
        <v>-26639229.972449012</v>
      </c>
      <c r="AH42" s="145">
        <f t="shared" si="80"/>
        <v>-27249720.507196993</v>
      </c>
      <c r="AI42" s="145">
        <f t="shared" si="80"/>
        <v>-27897563.78897826</v>
      </c>
      <c r="AJ42" s="145">
        <f t="shared" si="80"/>
        <v>-28582759.817792818</v>
      </c>
      <c r="AK42" s="145">
        <f t="shared" si="80"/>
        <v>-29305308.59364067</v>
      </c>
      <c r="AL42" s="145">
        <f t="shared" si="80"/>
        <v>-30065210.116521809</v>
      </c>
      <c r="AM42" s="145">
        <f t="shared" ref="AM42:AX42" si="81">+AM37+SUM(AM$39:AM$40)*$D$3</f>
        <v>-30829661.61116641</v>
      </c>
      <c r="AN42" s="145">
        <f t="shared" si="81"/>
        <v>-31565860.302304655</v>
      </c>
      <c r="AO42" s="145">
        <f t="shared" si="81"/>
        <v>-32273806.189936534</v>
      </c>
      <c r="AP42" s="145">
        <f t="shared" si="81"/>
        <v>-32953499.274062045</v>
      </c>
      <c r="AQ42" s="145">
        <f t="shared" si="81"/>
        <v>-33604939.554681197</v>
      </c>
      <c r="AR42" s="145">
        <f t="shared" si="81"/>
        <v>-34228127.031793974</v>
      </c>
      <c r="AS42" s="145">
        <f t="shared" si="81"/>
        <v>-34823061.705400392</v>
      </c>
      <c r="AT42" s="145">
        <f t="shared" si="81"/>
        <v>-35389743.575500444</v>
      </c>
      <c r="AU42" s="145">
        <f t="shared" si="81"/>
        <v>-35928172.642094135</v>
      </c>
      <c r="AV42" s="145">
        <f t="shared" si="81"/>
        <v>-36438348.905181468</v>
      </c>
      <c r="AW42" s="145">
        <f t="shared" si="81"/>
        <v>-36920272.364762425</v>
      </c>
      <c r="AX42" s="145">
        <f t="shared" si="81"/>
        <v>-37373943.020837016</v>
      </c>
    </row>
    <row r="43" spans="1:50" s="6" customFormat="1" x14ac:dyDescent="0.25">
      <c r="M43" s="93" t="s">
        <v>65</v>
      </c>
      <c r="N43" s="92">
        <f t="shared" ref="N43:Z43" si="82">+N38+SUM(N$39:N$40)*$E$2</f>
        <v>-7155542.8566795578</v>
      </c>
      <c r="O43" s="91">
        <f t="shared" si="82"/>
        <v>-7575528.3153685238</v>
      </c>
      <c r="P43" s="91">
        <f t="shared" si="82"/>
        <v>-7976922.3863290586</v>
      </c>
      <c r="Q43" s="91">
        <f t="shared" si="82"/>
        <v>-8359725.0695611602</v>
      </c>
      <c r="R43" s="91">
        <f t="shared" si="82"/>
        <v>-8723936.3650648277</v>
      </c>
      <c r="S43" s="91">
        <f t="shared" si="82"/>
        <v>-9069556.272840064</v>
      </c>
      <c r="T43" s="91">
        <f t="shared" si="82"/>
        <v>-9396584.7928868663</v>
      </c>
      <c r="U43" s="91">
        <f t="shared" si="82"/>
        <v>-9705021.9252052363</v>
      </c>
      <c r="V43" s="91">
        <f t="shared" si="82"/>
        <v>-9994867.6697951742</v>
      </c>
      <c r="W43" s="91">
        <f t="shared" si="82"/>
        <v>-10266122.02665668</v>
      </c>
      <c r="X43" s="91">
        <f t="shared" si="82"/>
        <v>-10518784.995789751</v>
      </c>
      <c r="Y43" s="91">
        <f t="shared" si="82"/>
        <v>-10752856.577194389</v>
      </c>
      <c r="Z43" s="91">
        <f t="shared" si="82"/>
        <v>-10968336.770870598</v>
      </c>
      <c r="AA43" s="145">
        <f t="shared" ref="AA43:AL43" si="83">+AA38+SUM(AA$39:AA$40)*$E$3</f>
        <v>-11179783.298487734</v>
      </c>
      <c r="AB43" s="145">
        <f t="shared" si="83"/>
        <v>-11401753.881715154</v>
      </c>
      <c r="AC43" s="145">
        <f t="shared" si="83"/>
        <v>-11634248.520552866</v>
      </c>
      <c r="AD43" s="145">
        <f t="shared" si="83"/>
        <v>-11877267.215000866</v>
      </c>
      <c r="AE43" s="145">
        <f t="shared" si="83"/>
        <v>-12130809.965059154</v>
      </c>
      <c r="AF43" s="145">
        <f t="shared" si="83"/>
        <v>-12394876.770727733</v>
      </c>
      <c r="AG43" s="145">
        <f t="shared" si="83"/>
        <v>-12669467.6320066</v>
      </c>
      <c r="AH43" s="145">
        <f t="shared" si="83"/>
        <v>-12954582.548895754</v>
      </c>
      <c r="AI43" s="145">
        <f t="shared" si="83"/>
        <v>-13250221.521395197</v>
      </c>
      <c r="AJ43" s="145">
        <f t="shared" si="83"/>
        <v>-13556384.54950493</v>
      </c>
      <c r="AK43" s="145">
        <f t="shared" si="83"/>
        <v>-13873071.633224949</v>
      </c>
      <c r="AL43" s="145">
        <f t="shared" si="83"/>
        <v>-14200282.77255526</v>
      </c>
      <c r="AM43" s="145">
        <f t="shared" ref="AM43:AX43" si="84">+AM38+SUM(AM$39:AM$40)*$E$3</f>
        <v>-14525769.451097269</v>
      </c>
      <c r="AN43" s="145">
        <f t="shared" si="84"/>
        <v>-14837283.152452387</v>
      </c>
      <c r="AO43" s="145">
        <f t="shared" si="84"/>
        <v>-15134823.876620613</v>
      </c>
      <c r="AP43" s="145">
        <f t="shared" si="84"/>
        <v>-15418391.623601949</v>
      </c>
      <c r="AQ43" s="145">
        <f t="shared" si="84"/>
        <v>-15687986.393396394</v>
      </c>
      <c r="AR43" s="145">
        <f t="shared" si="84"/>
        <v>-15943608.186003949</v>
      </c>
      <c r="AS43" s="145">
        <f t="shared" si="84"/>
        <v>-16185257.001424612</v>
      </c>
      <c r="AT43" s="145">
        <f t="shared" si="84"/>
        <v>-16412932.839658385</v>
      </c>
      <c r="AU43" s="145">
        <f t="shared" si="84"/>
        <v>-16626635.700705267</v>
      </c>
      <c r="AV43" s="145">
        <f t="shared" si="84"/>
        <v>-16826365.58456526</v>
      </c>
      <c r="AW43" s="145">
        <f t="shared" si="84"/>
        <v>-17012122.491238359</v>
      </c>
      <c r="AX43" s="145">
        <f t="shared" si="84"/>
        <v>-17183906.420724567</v>
      </c>
    </row>
    <row r="44" spans="1:50" x14ac:dyDescent="0.25">
      <c r="A44" s="6"/>
      <c r="B44" s="6"/>
      <c r="C44" s="6"/>
      <c r="D44" s="6"/>
      <c r="E44" s="6"/>
      <c r="F44" s="6"/>
      <c r="J44" s="76"/>
      <c r="M44" s="87"/>
      <c r="N44" s="86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50" x14ac:dyDescent="0.25">
      <c r="A45" s="6"/>
      <c r="B45" s="6"/>
      <c r="C45" s="6"/>
      <c r="D45" s="6"/>
      <c r="E45" s="6"/>
      <c r="F45" s="6"/>
      <c r="J45" s="76"/>
      <c r="L45" s="51" t="s">
        <v>67</v>
      </c>
      <c r="M45" s="84" t="s">
        <v>44</v>
      </c>
      <c r="N45" s="83">
        <v>44531</v>
      </c>
      <c r="O45" s="90">
        <f t="shared" ref="O45:AL45" si="85">O21</f>
        <v>44562</v>
      </c>
      <c r="P45" s="90">
        <f t="shared" si="85"/>
        <v>44593</v>
      </c>
      <c r="Q45" s="90">
        <f t="shared" si="85"/>
        <v>44621</v>
      </c>
      <c r="R45" s="90">
        <f t="shared" si="85"/>
        <v>44652</v>
      </c>
      <c r="S45" s="90">
        <f t="shared" si="85"/>
        <v>44682</v>
      </c>
      <c r="T45" s="90">
        <f t="shared" si="85"/>
        <v>44713</v>
      </c>
      <c r="U45" s="90">
        <f t="shared" si="85"/>
        <v>44743</v>
      </c>
      <c r="V45" s="90">
        <f t="shared" si="85"/>
        <v>44774</v>
      </c>
      <c r="W45" s="90">
        <f t="shared" si="85"/>
        <v>44805</v>
      </c>
      <c r="X45" s="90">
        <f t="shared" si="85"/>
        <v>44835</v>
      </c>
      <c r="Y45" s="90">
        <f t="shared" si="85"/>
        <v>44866</v>
      </c>
      <c r="Z45" s="90">
        <f t="shared" si="85"/>
        <v>44896</v>
      </c>
      <c r="AA45" s="90">
        <f t="shared" si="85"/>
        <v>44927</v>
      </c>
      <c r="AB45" s="90">
        <f t="shared" si="85"/>
        <v>44958</v>
      </c>
      <c r="AC45" s="90">
        <f t="shared" si="85"/>
        <v>44986</v>
      </c>
      <c r="AD45" s="90">
        <f t="shared" si="85"/>
        <v>45017</v>
      </c>
      <c r="AE45" s="90">
        <f t="shared" si="85"/>
        <v>45047</v>
      </c>
      <c r="AF45" s="90">
        <f t="shared" si="85"/>
        <v>45078</v>
      </c>
      <c r="AG45" s="90">
        <f t="shared" si="85"/>
        <v>45108</v>
      </c>
      <c r="AH45" s="90">
        <f t="shared" si="85"/>
        <v>45139</v>
      </c>
      <c r="AI45" s="90">
        <f t="shared" si="85"/>
        <v>45170</v>
      </c>
      <c r="AJ45" s="90">
        <f t="shared" si="85"/>
        <v>45200</v>
      </c>
      <c r="AK45" s="90">
        <f t="shared" si="85"/>
        <v>45231</v>
      </c>
      <c r="AL45" s="90">
        <f t="shared" si="85"/>
        <v>45261</v>
      </c>
      <c r="AM45" s="90">
        <f t="shared" ref="AM45:AX45" si="86">AM21</f>
        <v>45292</v>
      </c>
      <c r="AN45" s="90">
        <f t="shared" si="86"/>
        <v>45323</v>
      </c>
      <c r="AO45" s="90">
        <f t="shared" si="86"/>
        <v>45352</v>
      </c>
      <c r="AP45" s="90">
        <f t="shared" si="86"/>
        <v>45383</v>
      </c>
      <c r="AQ45" s="90">
        <f t="shared" si="86"/>
        <v>45413</v>
      </c>
      <c r="AR45" s="90">
        <f t="shared" si="86"/>
        <v>45444</v>
      </c>
      <c r="AS45" s="90">
        <f t="shared" si="86"/>
        <v>45474</v>
      </c>
      <c r="AT45" s="90">
        <f t="shared" si="86"/>
        <v>45505</v>
      </c>
      <c r="AU45" s="90">
        <f t="shared" si="86"/>
        <v>45536</v>
      </c>
      <c r="AV45" s="90">
        <f t="shared" si="86"/>
        <v>45566</v>
      </c>
      <c r="AW45" s="90">
        <f t="shared" si="86"/>
        <v>45597</v>
      </c>
      <c r="AX45" s="90">
        <f t="shared" si="86"/>
        <v>45627</v>
      </c>
    </row>
    <row r="46" spans="1:50" x14ac:dyDescent="0.25">
      <c r="A46" s="6"/>
      <c r="B46" s="6"/>
      <c r="C46" s="6"/>
      <c r="D46" s="6"/>
      <c r="E46" s="6"/>
      <c r="F46" s="6"/>
      <c r="J46" s="82" t="s">
        <v>66</v>
      </c>
      <c r="L46" s="51" t="s">
        <v>67</v>
      </c>
      <c r="M46" s="81" t="s">
        <v>38</v>
      </c>
      <c r="N46" s="78">
        <v>180023261.47153881</v>
      </c>
      <c r="O46" s="80">
        <f t="array" ref="O46:AX46">TRANSPOSE(AMI!C93:C128)</f>
        <v>30568814.88670275</v>
      </c>
      <c r="P46" s="80">
        <v>31218287.758804999</v>
      </c>
      <c r="Q46" s="80">
        <v>31802935.372779671</v>
      </c>
      <c r="R46" s="80">
        <v>32321241.298068337</v>
      </c>
      <c r="S46" s="80">
        <v>32824019.941906087</v>
      </c>
      <c r="T46" s="80">
        <v>33309346.373327501</v>
      </c>
      <c r="U46" s="80">
        <v>34471585.676724583</v>
      </c>
      <c r="V46" s="80">
        <v>36313500.216995172</v>
      </c>
      <c r="W46" s="80">
        <v>38155745.208998658</v>
      </c>
      <c r="X46" s="80">
        <v>39951200.069450252</v>
      </c>
      <c r="Y46" s="80">
        <v>41687719.952950172</v>
      </c>
      <c r="Z46" s="80">
        <v>42556924.961924337</v>
      </c>
      <c r="AA46" s="80">
        <v>42419914.114684336</v>
      </c>
      <c r="AB46" s="80">
        <v>42257699.99472817</v>
      </c>
      <c r="AC46" s="80">
        <v>42106942.693198167</v>
      </c>
      <c r="AD46" s="80">
        <v>41955866.408941843</v>
      </c>
      <c r="AE46" s="80">
        <v>41791458.835500002</v>
      </c>
      <c r="AF46" s="80">
        <v>41631836.527433172</v>
      </c>
      <c r="AG46" s="80">
        <v>41446791.053888008</v>
      </c>
      <c r="AH46" s="80">
        <v>41233233.029618666</v>
      </c>
      <c r="AI46" s="80">
        <v>41018520.38803383</v>
      </c>
      <c r="AJ46" s="80">
        <v>40807920.9439715</v>
      </c>
      <c r="AK46" s="80">
        <v>40610305.893105663</v>
      </c>
      <c r="AL46" s="80">
        <v>40423839.966552168</v>
      </c>
      <c r="AM46" s="80">
        <v>40738897.000132002</v>
      </c>
      <c r="AN46" s="80">
        <v>40682816.911418885</v>
      </c>
      <c r="AO46" s="80">
        <v>40614392.892324366</v>
      </c>
      <c r="AP46" s="80">
        <v>40552342.350441739</v>
      </c>
      <c r="AQ46" s="80">
        <v>40529197.793446623</v>
      </c>
      <c r="AR46" s="80">
        <v>40523316.109770492</v>
      </c>
      <c r="AS46" s="80">
        <v>40439856.956303999</v>
      </c>
      <c r="AT46" s="80">
        <v>40279144.736846626</v>
      </c>
      <c r="AU46" s="80">
        <v>40119275.237911373</v>
      </c>
      <c r="AV46" s="80">
        <v>39956615.153456122</v>
      </c>
      <c r="AW46" s="80">
        <v>39794245.427140124</v>
      </c>
      <c r="AX46" s="80">
        <v>39631419.061314374</v>
      </c>
    </row>
    <row r="47" spans="1:50" x14ac:dyDescent="0.25">
      <c r="A47" s="6"/>
      <c r="B47" s="6"/>
      <c r="C47" s="6"/>
      <c r="D47" s="6"/>
      <c r="E47" s="6"/>
      <c r="F47" s="6"/>
      <c r="J47" s="76"/>
      <c r="L47" s="51" t="s">
        <v>67</v>
      </c>
      <c r="M47" s="81" t="s">
        <v>39</v>
      </c>
      <c r="N47" s="78">
        <v>-28264357.629861902</v>
      </c>
      <c r="O47" s="80">
        <f t="array" ref="O47:AX47">TRANSPOSE(-AMI!D93:D128)</f>
        <v>-13444892.264561066</v>
      </c>
      <c r="P47" s="80">
        <v>-12435134.19259138</v>
      </c>
      <c r="Q47" s="80">
        <v>-11397668.246856719</v>
      </c>
      <c r="R47" s="80">
        <v>-10332130.754055446</v>
      </c>
      <c r="S47" s="80">
        <v>-9238264.5040247515</v>
      </c>
      <c r="T47" s="80">
        <v>-8122405.7260006573</v>
      </c>
      <c r="U47" s="80">
        <v>-7683000.7417575438</v>
      </c>
      <c r="V47" s="80">
        <v>-7932906.9258418931</v>
      </c>
      <c r="W47" s="80">
        <v>-8191218.1253474448</v>
      </c>
      <c r="X47" s="80">
        <v>-8457791.3377958778</v>
      </c>
      <c r="Y47" s="80">
        <v>-8734044.0656403974</v>
      </c>
      <c r="Z47" s="80">
        <v>-9016847.6578857452</v>
      </c>
      <c r="AA47" s="80">
        <v>-9220764.4429820906</v>
      </c>
      <c r="AB47" s="80">
        <v>-9370651.7255576327</v>
      </c>
      <c r="AC47" s="80">
        <v>-9518074.6296444703</v>
      </c>
      <c r="AD47" s="80">
        <v>-9663063.2898541559</v>
      </c>
      <c r="AE47" s="80">
        <v>-9805592.5294170063</v>
      </c>
      <c r="AF47" s="80">
        <v>-9940255.5435690545</v>
      </c>
      <c r="AG47" s="80">
        <v>-10047332.670955652</v>
      </c>
      <c r="AH47" s="80">
        <v>-10131803.977235485</v>
      </c>
      <c r="AI47" s="80">
        <v>-10214702.737908354</v>
      </c>
      <c r="AJ47" s="80">
        <v>-10296051.479003193</v>
      </c>
      <c r="AK47" s="80">
        <v>-10374189.678607365</v>
      </c>
      <c r="AL47" s="80">
        <v>-10449735.81166352</v>
      </c>
      <c r="AM47" s="80">
        <v>-10703409.992720203</v>
      </c>
      <c r="AN47" s="80">
        <v>-10908592.5700799</v>
      </c>
      <c r="AO47" s="80">
        <v>-11112780.462050568</v>
      </c>
      <c r="AP47" s="80">
        <v>-11315957.343954017</v>
      </c>
      <c r="AQ47" s="80">
        <v>-11518260.430382984</v>
      </c>
      <c r="AR47" s="80">
        <v>-11727681.908005781</v>
      </c>
      <c r="AS47" s="80">
        <v>-11856807.318821445</v>
      </c>
      <c r="AT47" s="80">
        <v>-11896508.603192233</v>
      </c>
      <c r="AU47" s="80">
        <v>-11932947.066616002</v>
      </c>
      <c r="AV47" s="80">
        <v>-11966117.299888516</v>
      </c>
      <c r="AW47" s="80">
        <v>-11996012.36418635</v>
      </c>
      <c r="AX47" s="80">
        <v>-12022637.476264924</v>
      </c>
    </row>
    <row r="48" spans="1:50" x14ac:dyDescent="0.25">
      <c r="A48" s="6"/>
      <c r="B48" s="6"/>
      <c r="C48" s="6"/>
      <c r="D48" s="6"/>
      <c r="E48" s="6"/>
      <c r="F48" s="6"/>
      <c r="J48" s="76"/>
      <c r="L48" s="51" t="s">
        <v>67</v>
      </c>
      <c r="M48" s="79" t="s">
        <v>40</v>
      </c>
      <c r="N48" s="78">
        <v>-16922612.970434867</v>
      </c>
      <c r="O48" s="77">
        <f t="shared" ref="O48:AX48" si="87">O42</f>
        <v>-17645875.80991694</v>
      </c>
      <c r="P48" s="77">
        <f t="shared" si="87"/>
        <v>-18346237.806123417</v>
      </c>
      <c r="Q48" s="77">
        <f t="shared" si="87"/>
        <v>-19011360.081929114</v>
      </c>
      <c r="R48" s="77">
        <f t="shared" si="87"/>
        <v>-19641242.637334038</v>
      </c>
      <c r="S48" s="77">
        <f t="shared" si="87"/>
        <v>-20235885.472338177</v>
      </c>
      <c r="T48" s="77">
        <f t="shared" si="87"/>
        <v>-20795288.58694154</v>
      </c>
      <c r="U48" s="77">
        <f t="shared" si="87"/>
        <v>-21319451.981144115</v>
      </c>
      <c r="V48" s="77">
        <f t="shared" si="87"/>
        <v>-21808375.654945917</v>
      </c>
      <c r="W48" s="77">
        <f t="shared" si="87"/>
        <v>-22262059.608346943</v>
      </c>
      <c r="X48" s="77">
        <f t="shared" si="87"/>
        <v>-22680503.84134718</v>
      </c>
      <c r="Y48" s="77">
        <f t="shared" si="87"/>
        <v>-23063708.353946649</v>
      </c>
      <c r="Z48" s="77">
        <f t="shared" si="87"/>
        <v>-23411673.146145329</v>
      </c>
      <c r="AA48" s="77">
        <f t="shared" si="87"/>
        <v>-23760694.451660268</v>
      </c>
      <c r="AB48" s="77">
        <f t="shared" si="87"/>
        <v>-24147068.504208501</v>
      </c>
      <c r="AC48" s="77">
        <f t="shared" si="87"/>
        <v>-24570795.303790018</v>
      </c>
      <c r="AD48" s="77">
        <f t="shared" si="87"/>
        <v>-25031874.850404833</v>
      </c>
      <c r="AE48" s="77">
        <f t="shared" si="87"/>
        <v>-25530307.144052934</v>
      </c>
      <c r="AF48" s="77">
        <f t="shared" si="87"/>
        <v>-26066092.184734326</v>
      </c>
      <c r="AG48" s="77">
        <f t="shared" si="87"/>
        <v>-26639229.972449012</v>
      </c>
      <c r="AH48" s="77">
        <f t="shared" si="87"/>
        <v>-27249720.507196993</v>
      </c>
      <c r="AI48" s="77">
        <f t="shared" si="87"/>
        <v>-27897563.78897826</v>
      </c>
      <c r="AJ48" s="77">
        <f t="shared" si="87"/>
        <v>-28582759.817792818</v>
      </c>
      <c r="AK48" s="77">
        <f t="shared" si="87"/>
        <v>-29305308.59364067</v>
      </c>
      <c r="AL48" s="77">
        <f t="shared" si="87"/>
        <v>-30065210.116521809</v>
      </c>
      <c r="AM48" s="77">
        <f t="shared" si="87"/>
        <v>-30829661.61116641</v>
      </c>
      <c r="AN48" s="77">
        <f t="shared" si="87"/>
        <v>-31565860.302304655</v>
      </c>
      <c r="AO48" s="77">
        <f t="shared" si="87"/>
        <v>-32273806.189936534</v>
      </c>
      <c r="AP48" s="77">
        <f t="shared" si="87"/>
        <v>-32953499.274062045</v>
      </c>
      <c r="AQ48" s="77">
        <f t="shared" si="87"/>
        <v>-33604939.554681197</v>
      </c>
      <c r="AR48" s="77">
        <f t="shared" si="87"/>
        <v>-34228127.031793974</v>
      </c>
      <c r="AS48" s="77">
        <f t="shared" si="87"/>
        <v>-34823061.705400392</v>
      </c>
      <c r="AT48" s="77">
        <f t="shared" si="87"/>
        <v>-35389743.575500444</v>
      </c>
      <c r="AU48" s="77">
        <f t="shared" si="87"/>
        <v>-35928172.642094135</v>
      </c>
      <c r="AV48" s="77">
        <f t="shared" si="87"/>
        <v>-36438348.905181468</v>
      </c>
      <c r="AW48" s="77">
        <f t="shared" si="87"/>
        <v>-36920272.364762425</v>
      </c>
      <c r="AX48" s="77">
        <f t="shared" si="87"/>
        <v>-37373943.020837016</v>
      </c>
    </row>
    <row r="49" spans="1:50" x14ac:dyDescent="0.25">
      <c r="A49" s="6"/>
      <c r="B49" s="6"/>
      <c r="C49" s="6"/>
      <c r="D49" s="6"/>
      <c r="E49" s="6"/>
      <c r="F49" s="6"/>
      <c r="J49" s="76"/>
      <c r="L49" s="51" t="s">
        <v>67</v>
      </c>
      <c r="M49" s="89" t="s">
        <v>45</v>
      </c>
      <c r="N49" s="88">
        <v>134836290.87124205</v>
      </c>
      <c r="O49" s="72">
        <f t="shared" ref="O49:AL49" si="88">SUM(O46:O48)</f>
        <v>-521953.18777525797</v>
      </c>
      <c r="P49" s="72">
        <f t="shared" si="88"/>
        <v>436915.76009020209</v>
      </c>
      <c r="Q49" s="72">
        <f t="shared" si="88"/>
        <v>1393907.0439938381</v>
      </c>
      <c r="R49" s="72">
        <f t="shared" si="88"/>
        <v>2347867.9066788517</v>
      </c>
      <c r="S49" s="72">
        <f t="shared" si="88"/>
        <v>3349869.9655431584</v>
      </c>
      <c r="T49" s="72">
        <f t="shared" si="88"/>
        <v>4391652.0603853017</v>
      </c>
      <c r="U49" s="72">
        <f t="shared" si="88"/>
        <v>5469132.9538229257</v>
      </c>
      <c r="V49" s="72">
        <f t="shared" si="88"/>
        <v>6572217.6362073608</v>
      </c>
      <c r="W49" s="72">
        <f t="shared" si="88"/>
        <v>7702467.475304272</v>
      </c>
      <c r="X49" s="72">
        <f t="shared" si="88"/>
        <v>8812904.8903071955</v>
      </c>
      <c r="Y49" s="72">
        <f t="shared" si="88"/>
        <v>9889967.5333631262</v>
      </c>
      <c r="Z49" s="73">
        <f t="shared" si="88"/>
        <v>10128404.157893263</v>
      </c>
      <c r="AA49" s="72">
        <f t="shared" si="88"/>
        <v>9438455.2200419754</v>
      </c>
      <c r="AB49" s="72">
        <f t="shared" si="88"/>
        <v>8739979.7649620362</v>
      </c>
      <c r="AC49" s="72">
        <f t="shared" si="88"/>
        <v>8018072.7597636804</v>
      </c>
      <c r="AD49" s="72">
        <f t="shared" si="88"/>
        <v>7260928.2686828561</v>
      </c>
      <c r="AE49" s="71">
        <f t="shared" si="88"/>
        <v>6455559.1620300598</v>
      </c>
      <c r="AF49" s="72">
        <f t="shared" si="88"/>
        <v>5625488.7991297916</v>
      </c>
      <c r="AG49" s="72">
        <f t="shared" si="88"/>
        <v>4760228.4104833454</v>
      </c>
      <c r="AH49" s="71">
        <f t="shared" si="88"/>
        <v>3851708.5451861881</v>
      </c>
      <c r="AI49" s="72">
        <f t="shared" si="88"/>
        <v>2906253.8611472137</v>
      </c>
      <c r="AJ49" s="72">
        <f t="shared" si="88"/>
        <v>1929109.6471754909</v>
      </c>
      <c r="AK49" s="71">
        <f t="shared" si="88"/>
        <v>930807.6208576262</v>
      </c>
      <c r="AL49" s="71">
        <f t="shared" si="88"/>
        <v>-91105.96163316071</v>
      </c>
      <c r="AM49" s="71">
        <f t="shared" ref="AM49:AW49" si="89">SUM(AM46:AM48)</f>
        <v>-794174.60375460982</v>
      </c>
      <c r="AN49" s="71">
        <f t="shared" si="89"/>
        <v>-1791635.9609656706</v>
      </c>
      <c r="AO49" s="71">
        <f t="shared" si="89"/>
        <v>-2772193.7596627362</v>
      </c>
      <c r="AP49" s="71">
        <f t="shared" si="89"/>
        <v>-3717114.2675743252</v>
      </c>
      <c r="AQ49" s="71">
        <f t="shared" si="89"/>
        <v>-4594002.1916175559</v>
      </c>
      <c r="AR49" s="71">
        <f t="shared" si="89"/>
        <v>-5432492.8300292641</v>
      </c>
      <c r="AS49" s="71">
        <f t="shared" si="89"/>
        <v>-6240012.0679178387</v>
      </c>
      <c r="AT49" s="71">
        <f t="shared" si="89"/>
        <v>-7007107.4418460503</v>
      </c>
      <c r="AU49" s="71">
        <f t="shared" si="89"/>
        <v>-7741844.4707987644</v>
      </c>
      <c r="AV49" s="71">
        <f t="shared" si="89"/>
        <v>-8447851.0516138598</v>
      </c>
      <c r="AW49" s="71">
        <f t="shared" si="89"/>
        <v>-9122039.3018086515</v>
      </c>
      <c r="AX49" s="71">
        <f>SUM(AX46:AX48)</f>
        <v>-9765161.435787566</v>
      </c>
    </row>
    <row r="50" spans="1:50" x14ac:dyDescent="0.25">
      <c r="A50" s="6"/>
      <c r="B50" s="6"/>
      <c r="C50" s="6"/>
      <c r="D50" s="6"/>
      <c r="E50" s="6"/>
      <c r="F50" s="6"/>
      <c r="J50" s="76"/>
      <c r="M50" s="87"/>
      <c r="N50" s="86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</row>
    <row r="51" spans="1:50" x14ac:dyDescent="0.25">
      <c r="A51" s="6"/>
      <c r="B51" s="6"/>
      <c r="C51" s="6"/>
      <c r="D51" s="6"/>
      <c r="E51" s="6"/>
      <c r="F51" s="6"/>
      <c r="J51" s="76"/>
      <c r="L51" s="51" t="s">
        <v>65</v>
      </c>
      <c r="M51" s="84" t="s">
        <v>44</v>
      </c>
      <c r="N51" s="83">
        <v>44531</v>
      </c>
      <c r="O51" s="56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50" x14ac:dyDescent="0.25">
      <c r="A52" s="6"/>
      <c r="B52" s="6"/>
      <c r="C52" s="6"/>
      <c r="D52" s="6"/>
      <c r="E52" s="6"/>
      <c r="F52" s="6"/>
      <c r="J52" s="82" t="s">
        <v>66</v>
      </c>
      <c r="L52" s="51" t="s">
        <v>65</v>
      </c>
      <c r="M52" s="81" t="s">
        <v>38</v>
      </c>
      <c r="N52" s="78">
        <v>81146177.148461148</v>
      </c>
      <c r="O52" s="80">
        <f t="array" ref="O52:AX52">TRANSPOSE(AMI!F93:F128)</f>
        <v>15987406.38454725</v>
      </c>
      <c r="P52" s="80">
        <v>16327078.916195001</v>
      </c>
      <c r="Q52" s="80">
        <v>16632848.01555367</v>
      </c>
      <c r="R52" s="80">
        <v>16903920.593598336</v>
      </c>
      <c r="S52" s="80">
        <v>17166872.446010586</v>
      </c>
      <c r="T52" s="80">
        <v>17420696.839172501</v>
      </c>
      <c r="U52" s="80">
        <v>18028544.808692086</v>
      </c>
      <c r="V52" s="80">
        <v>18991861.063838169</v>
      </c>
      <c r="W52" s="80">
        <v>19955350.144334663</v>
      </c>
      <c r="X52" s="80">
        <v>20894368.114299752</v>
      </c>
      <c r="Y52" s="80">
        <v>21802563.25288317</v>
      </c>
      <c r="Z52" s="80">
        <v>22257155.089742336</v>
      </c>
      <c r="AA52" s="80">
        <v>22284042.741149005</v>
      </c>
      <c r="AB52" s="80">
        <v>22198828.3681885</v>
      </c>
      <c r="AC52" s="80">
        <v>22119632.494718503</v>
      </c>
      <c r="AD52" s="80">
        <v>22040269.053141505</v>
      </c>
      <c r="AE52" s="80">
        <v>21953902.414500002</v>
      </c>
      <c r="AF52" s="80">
        <v>21870049.572983503</v>
      </c>
      <c r="AG52" s="80">
        <v>21772841.426112007</v>
      </c>
      <c r="AH52" s="80">
        <v>21660655.057048</v>
      </c>
      <c r="AI52" s="80">
        <v>21547862.144049499</v>
      </c>
      <c r="AJ52" s="80">
        <v>21437229.977278501</v>
      </c>
      <c r="AK52" s="80">
        <v>21333418.776060998</v>
      </c>
      <c r="AL52" s="80">
        <v>21235464.436364502</v>
      </c>
      <c r="AM52" s="80">
        <v>20735219.493201334</v>
      </c>
      <c r="AN52" s="80">
        <v>20706675.938164465</v>
      </c>
      <c r="AO52" s="80">
        <v>20671849.588925622</v>
      </c>
      <c r="AP52" s="80">
        <v>20640267.202058244</v>
      </c>
      <c r="AQ52" s="80">
        <v>20628487.121970039</v>
      </c>
      <c r="AR52" s="80">
        <v>20625493.471896164</v>
      </c>
      <c r="AS52" s="80">
        <v>20583014.563696001</v>
      </c>
      <c r="AT52" s="80">
        <v>20501215.511903375</v>
      </c>
      <c r="AU52" s="80">
        <v>20419845.386671957</v>
      </c>
      <c r="AV52" s="80">
        <v>20337054.913627207</v>
      </c>
      <c r="AW52" s="80">
        <v>20254412.226609875</v>
      </c>
      <c r="AX52" s="80">
        <v>20171537.119935628</v>
      </c>
    </row>
    <row r="53" spans="1:50" x14ac:dyDescent="0.25">
      <c r="A53" s="6"/>
      <c r="B53" s="6"/>
      <c r="C53" s="6"/>
      <c r="D53" s="6"/>
      <c r="E53" s="6"/>
      <c r="F53" s="6"/>
      <c r="J53" s="76"/>
      <c r="L53" s="51" t="s">
        <v>65</v>
      </c>
      <c r="M53" s="81" t="s">
        <v>39</v>
      </c>
      <c r="N53" s="78">
        <v>-11215043.25871814</v>
      </c>
      <c r="O53" s="80">
        <f t="array" ref="O53:AX53">TRANSPOSE(-AMI!G93:G128)</f>
        <v>-7031641.7966041276</v>
      </c>
      <c r="P53" s="80">
        <v>-6503541.0931097781</v>
      </c>
      <c r="Q53" s="80">
        <v>-5960949.2475945745</v>
      </c>
      <c r="R53" s="80">
        <v>-5403676.0599187333</v>
      </c>
      <c r="S53" s="80">
        <v>-4831587.0098722195</v>
      </c>
      <c r="T53" s="80">
        <v>-4247995.9279753668</v>
      </c>
      <c r="U53" s="80">
        <v>-4018188.3257988738</v>
      </c>
      <c r="V53" s="80">
        <v>-4148888.5749834087</v>
      </c>
      <c r="W53" s="80">
        <v>-4283984.6241917647</v>
      </c>
      <c r="X53" s="80">
        <v>-4423401.6835198058</v>
      </c>
      <c r="Y53" s="80">
        <v>-4567881.102864624</v>
      </c>
      <c r="Z53" s="80">
        <v>-4715786.6063325694</v>
      </c>
      <c r="AA53" s="80">
        <v>-4843854.9026281759</v>
      </c>
      <c r="AB53" s="80">
        <v>-4922593.7374649914</v>
      </c>
      <c r="AC53" s="80">
        <v>-5000037.984212257</v>
      </c>
      <c r="AD53" s="80">
        <v>-5076203.4731936716</v>
      </c>
      <c r="AE53" s="80">
        <v>-5151076.9785405993</v>
      </c>
      <c r="AF53" s="80">
        <v>-5221818.1958590336</v>
      </c>
      <c r="AG53" s="80">
        <v>-5278067.9863897599</v>
      </c>
      <c r="AH53" s="80">
        <v>-5322442.479804608</v>
      </c>
      <c r="AI53" s="80">
        <v>-5365990.88306229</v>
      </c>
      <c r="AJ53" s="80">
        <v>-5408725.0295434715</v>
      </c>
      <c r="AK53" s="80">
        <v>-5449772.6133501781</v>
      </c>
      <c r="AL53" s="80">
        <v>-5489458.5319355037</v>
      </c>
      <c r="AM53" s="80">
        <v>-5447804.7239241358</v>
      </c>
      <c r="AN53" s="80">
        <v>-5552238.2282902524</v>
      </c>
      <c r="AO53" s="80">
        <v>-5656165.4592570644</v>
      </c>
      <c r="AP53" s="80">
        <v>-5759578.1079156334</v>
      </c>
      <c r="AQ53" s="80">
        <v>-5862546.0135327913</v>
      </c>
      <c r="AR53" s="80">
        <v>-5969137.026664177</v>
      </c>
      <c r="AS53" s="80">
        <v>-6034859.0744506922</v>
      </c>
      <c r="AT53" s="80">
        <v>-6055066.1715055685</v>
      </c>
      <c r="AU53" s="80">
        <v>-6073612.5631048409</v>
      </c>
      <c r="AV53" s="80">
        <v>-6090495.4960802728</v>
      </c>
      <c r="AW53" s="80">
        <v>-6105711.4387204712</v>
      </c>
      <c r="AX53" s="80">
        <v>-6119263.0462413747</v>
      </c>
    </row>
    <row r="54" spans="1:50" x14ac:dyDescent="0.25">
      <c r="A54" s="6"/>
      <c r="B54" s="6"/>
      <c r="C54" s="6"/>
      <c r="D54" s="6"/>
      <c r="E54" s="6"/>
      <c r="F54" s="6"/>
      <c r="J54" s="76"/>
      <c r="L54" s="51" t="s">
        <v>65</v>
      </c>
      <c r="M54" s="79" t="s">
        <v>40</v>
      </c>
      <c r="N54" s="78">
        <v>-7143203.97955437</v>
      </c>
      <c r="O54" s="77">
        <f t="shared" ref="O54:AX54" si="90">O43</f>
        <v>-7575528.3153685238</v>
      </c>
      <c r="P54" s="77">
        <f t="shared" si="90"/>
        <v>-7976922.3863290586</v>
      </c>
      <c r="Q54" s="77">
        <f t="shared" si="90"/>
        <v>-8359725.0695611602</v>
      </c>
      <c r="R54" s="77">
        <f t="shared" si="90"/>
        <v>-8723936.3650648277</v>
      </c>
      <c r="S54" s="77">
        <f t="shared" si="90"/>
        <v>-9069556.272840064</v>
      </c>
      <c r="T54" s="77">
        <f t="shared" si="90"/>
        <v>-9396584.7928868663</v>
      </c>
      <c r="U54" s="77">
        <f t="shared" si="90"/>
        <v>-9705021.9252052363</v>
      </c>
      <c r="V54" s="77">
        <f t="shared" si="90"/>
        <v>-9994867.6697951742</v>
      </c>
      <c r="W54" s="77">
        <f t="shared" si="90"/>
        <v>-10266122.02665668</v>
      </c>
      <c r="X54" s="77">
        <f t="shared" si="90"/>
        <v>-10518784.995789751</v>
      </c>
      <c r="Y54" s="77">
        <f t="shared" si="90"/>
        <v>-10752856.577194389</v>
      </c>
      <c r="Z54" s="77">
        <f t="shared" si="90"/>
        <v>-10968336.770870598</v>
      </c>
      <c r="AA54" s="77">
        <f t="shared" si="90"/>
        <v>-11179783.298487734</v>
      </c>
      <c r="AB54" s="77">
        <f t="shared" si="90"/>
        <v>-11401753.881715154</v>
      </c>
      <c r="AC54" s="77">
        <f t="shared" si="90"/>
        <v>-11634248.520552866</v>
      </c>
      <c r="AD54" s="77">
        <f t="shared" si="90"/>
        <v>-11877267.215000866</v>
      </c>
      <c r="AE54" s="77">
        <f t="shared" si="90"/>
        <v>-12130809.965059154</v>
      </c>
      <c r="AF54" s="77">
        <f t="shared" si="90"/>
        <v>-12394876.770727733</v>
      </c>
      <c r="AG54" s="77">
        <f t="shared" si="90"/>
        <v>-12669467.6320066</v>
      </c>
      <c r="AH54" s="77">
        <f t="shared" si="90"/>
        <v>-12954582.548895754</v>
      </c>
      <c r="AI54" s="77">
        <f t="shared" si="90"/>
        <v>-13250221.521395197</v>
      </c>
      <c r="AJ54" s="77">
        <f t="shared" si="90"/>
        <v>-13556384.54950493</v>
      </c>
      <c r="AK54" s="77">
        <f t="shared" si="90"/>
        <v>-13873071.633224949</v>
      </c>
      <c r="AL54" s="77">
        <f t="shared" si="90"/>
        <v>-14200282.77255526</v>
      </c>
      <c r="AM54" s="77">
        <f t="shared" si="90"/>
        <v>-14525769.451097269</v>
      </c>
      <c r="AN54" s="77">
        <f t="shared" si="90"/>
        <v>-14837283.152452387</v>
      </c>
      <c r="AO54" s="77">
        <f t="shared" si="90"/>
        <v>-15134823.876620613</v>
      </c>
      <c r="AP54" s="77">
        <f t="shared" si="90"/>
        <v>-15418391.623601949</v>
      </c>
      <c r="AQ54" s="77">
        <f t="shared" si="90"/>
        <v>-15687986.393396394</v>
      </c>
      <c r="AR54" s="77">
        <f t="shared" si="90"/>
        <v>-15943608.186003949</v>
      </c>
      <c r="AS54" s="77">
        <f t="shared" si="90"/>
        <v>-16185257.001424612</v>
      </c>
      <c r="AT54" s="77">
        <f t="shared" si="90"/>
        <v>-16412932.839658385</v>
      </c>
      <c r="AU54" s="77">
        <f t="shared" si="90"/>
        <v>-16626635.700705267</v>
      </c>
      <c r="AV54" s="77">
        <f t="shared" si="90"/>
        <v>-16826365.58456526</v>
      </c>
      <c r="AW54" s="77">
        <f t="shared" si="90"/>
        <v>-17012122.491238359</v>
      </c>
      <c r="AX54" s="77">
        <f t="shared" si="90"/>
        <v>-17183906.420724567</v>
      </c>
    </row>
    <row r="55" spans="1:50" ht="15.75" thickBot="1" x14ac:dyDescent="0.3">
      <c r="A55" s="6"/>
      <c r="B55" s="6"/>
      <c r="C55" s="6"/>
      <c r="D55" s="6"/>
      <c r="E55" s="6"/>
      <c r="F55" s="6"/>
      <c r="J55" s="76"/>
      <c r="L55" s="51" t="s">
        <v>65</v>
      </c>
      <c r="M55" s="75" t="s">
        <v>45</v>
      </c>
      <c r="N55" s="74">
        <v>62787929.91018863</v>
      </c>
      <c r="O55" s="72">
        <f t="shared" ref="O55:AL55" si="91">SUM(O52:O54)</f>
        <v>1380236.272574598</v>
      </c>
      <c r="P55" s="72">
        <f t="shared" si="91"/>
        <v>1846615.4367561638</v>
      </c>
      <c r="Q55" s="72">
        <f t="shared" si="91"/>
        <v>2312173.6983979354</v>
      </c>
      <c r="R55" s="72">
        <f t="shared" si="91"/>
        <v>2776308.1686147749</v>
      </c>
      <c r="S55" s="72">
        <f t="shared" si="91"/>
        <v>3265729.1632983014</v>
      </c>
      <c r="T55" s="72">
        <f t="shared" si="91"/>
        <v>3776116.1183102671</v>
      </c>
      <c r="U55" s="72">
        <f t="shared" si="91"/>
        <v>4305334.5576879773</v>
      </c>
      <c r="V55" s="72">
        <f t="shared" si="91"/>
        <v>4848104.8190595862</v>
      </c>
      <c r="W55" s="72">
        <f t="shared" si="91"/>
        <v>5405243.4934862182</v>
      </c>
      <c r="X55" s="72">
        <f t="shared" si="91"/>
        <v>5952181.4349901937</v>
      </c>
      <c r="Y55" s="72">
        <f t="shared" si="91"/>
        <v>6481825.5728241578</v>
      </c>
      <c r="Z55" s="73">
        <f t="shared" si="91"/>
        <v>6573031.7125391681</v>
      </c>
      <c r="AA55" s="72">
        <f t="shared" si="91"/>
        <v>6260404.5400330946</v>
      </c>
      <c r="AB55" s="72">
        <f t="shared" si="91"/>
        <v>5874480.7490083557</v>
      </c>
      <c r="AC55" s="72">
        <f t="shared" si="91"/>
        <v>5485345.9899533801</v>
      </c>
      <c r="AD55" s="72">
        <f t="shared" si="91"/>
        <v>5086798.364946967</v>
      </c>
      <c r="AE55" s="71">
        <f t="shared" si="91"/>
        <v>4672015.4709002487</v>
      </c>
      <c r="AF55" s="72">
        <f t="shared" si="91"/>
        <v>4253354.6063967366</v>
      </c>
      <c r="AG55" s="72">
        <f t="shared" si="91"/>
        <v>3825305.8077156469</v>
      </c>
      <c r="AH55" s="71">
        <f t="shared" si="91"/>
        <v>3383630.0283476375</v>
      </c>
      <c r="AI55" s="72">
        <f t="shared" si="91"/>
        <v>2931649.739592012</v>
      </c>
      <c r="AJ55" s="72">
        <f t="shared" si="91"/>
        <v>2472120.3982301001</v>
      </c>
      <c r="AK55" s="71">
        <f t="shared" si="91"/>
        <v>2010574.5294858702</v>
      </c>
      <c r="AL55" s="71">
        <f t="shared" si="91"/>
        <v>1545723.131873738</v>
      </c>
      <c r="AM55" s="71">
        <f t="shared" ref="AM55:AX55" si="92">SUM(AM52:AM54)</f>
        <v>761645.31817992963</v>
      </c>
      <c r="AN55" s="71">
        <f t="shared" si="92"/>
        <v>317154.55742182583</v>
      </c>
      <c r="AO55" s="71">
        <f t="shared" si="92"/>
        <v>-119139.74695205502</v>
      </c>
      <c r="AP55" s="71">
        <f t="shared" si="92"/>
        <v>-537702.52945933677</v>
      </c>
      <c r="AQ55" s="71">
        <f t="shared" si="92"/>
        <v>-922045.28495914675</v>
      </c>
      <c r="AR55" s="71">
        <f t="shared" si="92"/>
        <v>-1287251.7407719623</v>
      </c>
      <c r="AS55" s="71">
        <f t="shared" si="92"/>
        <v>-1637101.5121793039</v>
      </c>
      <c r="AT55" s="71">
        <f t="shared" si="92"/>
        <v>-1966783.4992605783</v>
      </c>
      <c r="AU55" s="71">
        <f t="shared" si="92"/>
        <v>-2280402.8771381527</v>
      </c>
      <c r="AV55" s="71">
        <f t="shared" si="92"/>
        <v>-2579806.1670183241</v>
      </c>
      <c r="AW55" s="71">
        <f t="shared" si="92"/>
        <v>-2863421.703348957</v>
      </c>
      <c r="AX55" s="71">
        <f t="shared" si="92"/>
        <v>-3131632.3470303137</v>
      </c>
    </row>
    <row r="56" spans="1:50" x14ac:dyDescent="0.25">
      <c r="A56" s="6"/>
      <c r="B56" s="6"/>
      <c r="C56" s="6"/>
      <c r="D56" s="6"/>
      <c r="E56" s="6"/>
      <c r="F56" s="6"/>
      <c r="R56" s="64"/>
      <c r="S56" s="64"/>
      <c r="T56" s="64"/>
      <c r="U56" s="64"/>
      <c r="V56" s="64"/>
      <c r="Z56" s="65"/>
    </row>
    <row r="57" spans="1:50" x14ac:dyDescent="0.25">
      <c r="A57" s="6"/>
      <c r="B57" s="6"/>
      <c r="C57" s="6"/>
      <c r="D57" s="6"/>
      <c r="E57" s="6"/>
      <c r="F57" s="6"/>
      <c r="O57" s="70"/>
      <c r="P57" s="70"/>
      <c r="Q57" s="70"/>
      <c r="R57" s="70"/>
      <c r="S57" s="70"/>
      <c r="T57" s="70"/>
      <c r="U57" s="70"/>
      <c r="V57" s="70"/>
      <c r="AG57" s="65"/>
      <c r="AH57" s="70"/>
      <c r="AK57" s="70"/>
      <c r="AL57" s="70"/>
    </row>
    <row r="58" spans="1:50" x14ac:dyDescent="0.25">
      <c r="A58" s="6"/>
      <c r="B58" s="6"/>
      <c r="C58" s="6"/>
      <c r="D58" s="6"/>
      <c r="E58" s="6"/>
      <c r="F58" s="6"/>
    </row>
    <row r="59" spans="1:50" x14ac:dyDescent="0.25">
      <c r="A59" s="6"/>
      <c r="B59" s="6"/>
      <c r="C59" s="6"/>
      <c r="D59" s="6"/>
      <c r="E59" s="6"/>
      <c r="F59" s="6"/>
    </row>
    <row r="60" spans="1:50" x14ac:dyDescent="0.25">
      <c r="A60" s="6"/>
      <c r="B60" s="6"/>
      <c r="C60" s="6"/>
      <c r="D60" s="6"/>
      <c r="E60" s="6"/>
      <c r="F60" s="6"/>
    </row>
    <row r="61" spans="1:50" x14ac:dyDescent="0.25">
      <c r="A61" s="6"/>
      <c r="B61" s="6"/>
      <c r="C61" s="6"/>
      <c r="D61" s="6"/>
      <c r="E61" s="6"/>
      <c r="F61" s="6"/>
    </row>
    <row r="62" spans="1:50" x14ac:dyDescent="0.25">
      <c r="A62" s="6"/>
      <c r="B62" s="6"/>
      <c r="C62" s="6"/>
      <c r="D62" s="6"/>
      <c r="E62" s="6"/>
      <c r="F62" s="6"/>
    </row>
    <row r="63" spans="1:50" x14ac:dyDescent="0.25">
      <c r="A63" s="6"/>
      <c r="B63" s="6"/>
      <c r="C63" s="6"/>
      <c r="D63" s="6"/>
      <c r="E63" s="6"/>
      <c r="F63" s="6"/>
    </row>
    <row r="64" spans="1:50" x14ac:dyDescent="0.25">
      <c r="A64" s="6"/>
      <c r="B64" s="6"/>
      <c r="C64" s="6"/>
      <c r="D64" s="6"/>
      <c r="E64" s="6"/>
      <c r="F64" s="6"/>
    </row>
    <row r="65" spans="1:6" x14ac:dyDescent="0.25">
      <c r="A65" s="6"/>
      <c r="B65" s="6"/>
      <c r="C65" s="6"/>
      <c r="D65" s="6"/>
      <c r="E65" s="6"/>
      <c r="F65" s="6"/>
    </row>
    <row r="66" spans="1:6" x14ac:dyDescent="0.25">
      <c r="A66" s="6"/>
      <c r="B66" s="6"/>
      <c r="C66" s="6"/>
      <c r="D66" s="6"/>
      <c r="E66" s="6"/>
      <c r="F66" s="6"/>
    </row>
    <row r="67" spans="1:6" x14ac:dyDescent="0.25">
      <c r="A67" s="6"/>
      <c r="B67" s="6"/>
      <c r="C67" s="6"/>
      <c r="D67" s="6"/>
      <c r="E67" s="6"/>
      <c r="F67" s="6"/>
    </row>
    <row r="68" spans="1:6" x14ac:dyDescent="0.25">
      <c r="A68" s="6"/>
      <c r="B68" s="6"/>
      <c r="C68" s="6"/>
      <c r="D68" s="6"/>
      <c r="E68" s="6"/>
      <c r="F68" s="6"/>
    </row>
    <row r="69" spans="1:6" x14ac:dyDescent="0.25">
      <c r="A69" s="6"/>
      <c r="B69" s="6"/>
      <c r="C69" s="6"/>
      <c r="D69" s="6"/>
      <c r="E69" s="6"/>
      <c r="F69" s="6"/>
    </row>
    <row r="70" spans="1:6" x14ac:dyDescent="0.25">
      <c r="A70" s="6"/>
      <c r="B70" s="6"/>
      <c r="C70" s="6"/>
      <c r="D70" s="6"/>
      <c r="E70" s="6"/>
      <c r="F70" s="6"/>
    </row>
    <row r="71" spans="1:6" x14ac:dyDescent="0.25">
      <c r="A71" s="6"/>
      <c r="B71" s="6"/>
      <c r="C71" s="6"/>
      <c r="D71" s="6"/>
      <c r="E71" s="6"/>
      <c r="F71" s="6"/>
    </row>
    <row r="72" spans="1:6" x14ac:dyDescent="0.25">
      <c r="A72" s="6"/>
      <c r="B72" s="6"/>
      <c r="C72" s="6"/>
      <c r="D72" s="6"/>
      <c r="E72" s="6"/>
      <c r="F72" s="6"/>
    </row>
    <row r="73" spans="1:6" x14ac:dyDescent="0.25">
      <c r="A73" s="6"/>
      <c r="B73" s="6"/>
      <c r="C73" s="6"/>
      <c r="D73" s="6"/>
      <c r="E73" s="6"/>
      <c r="F73" s="6"/>
    </row>
    <row r="74" spans="1:6" x14ac:dyDescent="0.25">
      <c r="A74" s="6"/>
      <c r="B74" s="6"/>
      <c r="C74" s="6"/>
      <c r="D74" s="6"/>
      <c r="E74" s="6"/>
      <c r="F74" s="6"/>
    </row>
    <row r="75" spans="1:6" x14ac:dyDescent="0.25">
      <c r="A75" s="6"/>
      <c r="B75" s="6"/>
      <c r="C75" s="6"/>
      <c r="D75" s="6"/>
      <c r="E75" s="6"/>
      <c r="F75" s="6"/>
    </row>
    <row r="76" spans="1:6" x14ac:dyDescent="0.25">
      <c r="A76" s="6"/>
      <c r="B76" s="6"/>
      <c r="C76" s="6"/>
      <c r="D76" s="6"/>
      <c r="E76" s="6"/>
      <c r="F76" s="6"/>
    </row>
    <row r="77" spans="1:6" x14ac:dyDescent="0.25">
      <c r="A77" s="6"/>
      <c r="B77" s="6"/>
      <c r="C77" s="6"/>
      <c r="D77" s="6"/>
      <c r="E77" s="6"/>
      <c r="F77" s="6"/>
    </row>
    <row r="78" spans="1:6" x14ac:dyDescent="0.25">
      <c r="A78" s="6"/>
      <c r="B78" s="6"/>
      <c r="C78" s="6"/>
      <c r="D78" s="6"/>
      <c r="E78" s="6"/>
      <c r="F78" s="6"/>
    </row>
    <row r="79" spans="1:6" x14ac:dyDescent="0.25">
      <c r="A79" s="6"/>
      <c r="B79" s="6"/>
      <c r="C79" s="6"/>
      <c r="D79" s="6"/>
      <c r="E79" s="6"/>
      <c r="F79" s="6"/>
    </row>
    <row r="80" spans="1:6" x14ac:dyDescent="0.25">
      <c r="A80" s="6"/>
      <c r="B80" s="6"/>
      <c r="C80" s="6"/>
      <c r="D80" s="6"/>
      <c r="E80" s="6"/>
      <c r="F80" s="6"/>
    </row>
    <row r="81" spans="1:6" x14ac:dyDescent="0.25">
      <c r="A81" s="6"/>
      <c r="B81" s="6"/>
      <c r="C81" s="6"/>
      <c r="D81" s="6"/>
      <c r="E81" s="6"/>
      <c r="F81" s="6"/>
    </row>
    <row r="82" spans="1:6" x14ac:dyDescent="0.25">
      <c r="A82" s="6"/>
      <c r="B82" s="6"/>
      <c r="C82" s="6"/>
      <c r="D82" s="6"/>
      <c r="E82" s="6"/>
      <c r="F82" s="6"/>
    </row>
    <row r="83" spans="1:6" x14ac:dyDescent="0.25">
      <c r="A83" s="6"/>
      <c r="B83" s="6"/>
      <c r="C83" s="6"/>
      <c r="D83" s="6"/>
      <c r="E83" s="6"/>
      <c r="F83" s="6"/>
    </row>
    <row r="84" spans="1:6" x14ac:dyDescent="0.25">
      <c r="A84" s="6"/>
      <c r="B84" s="6"/>
      <c r="C84" s="6"/>
      <c r="D84" s="6"/>
      <c r="E84" s="6"/>
      <c r="F84" s="6"/>
    </row>
    <row r="85" spans="1:6" x14ac:dyDescent="0.25">
      <c r="A85" s="6"/>
      <c r="B85" s="6"/>
      <c r="C85" s="6"/>
      <c r="D85" s="6"/>
      <c r="E85" s="6"/>
      <c r="F85" s="6"/>
    </row>
    <row r="86" spans="1:6" x14ac:dyDescent="0.25">
      <c r="A86" s="6"/>
      <c r="B86" s="6"/>
      <c r="C86" s="6"/>
      <c r="D86" s="6"/>
      <c r="E86" s="6"/>
      <c r="F86" s="6"/>
    </row>
    <row r="87" spans="1:6" x14ac:dyDescent="0.25">
      <c r="A87" s="6"/>
      <c r="B87" s="6"/>
      <c r="C87" s="6"/>
      <c r="D87" s="6"/>
      <c r="E87" s="6"/>
      <c r="F87" s="6"/>
    </row>
    <row r="88" spans="1:6" x14ac:dyDescent="0.25">
      <c r="A88" s="6"/>
      <c r="B88" s="6"/>
      <c r="C88" s="6"/>
      <c r="D88" s="6"/>
      <c r="E88" s="6"/>
      <c r="F88" s="6"/>
    </row>
    <row r="89" spans="1:6" x14ac:dyDescent="0.25">
      <c r="A89" s="6"/>
      <c r="B89" s="6"/>
      <c r="C89" s="6"/>
      <c r="D89" s="6"/>
      <c r="E89" s="6"/>
      <c r="F89" s="6"/>
    </row>
  </sheetData>
  <mergeCells count="4">
    <mergeCell ref="AF7:AG7"/>
    <mergeCell ref="AI7:AJ7"/>
    <mergeCell ref="AF8:AG8"/>
    <mergeCell ref="AI8:AJ8"/>
  </mergeCells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A4" sqref="A4"/>
    </sheetView>
  </sheetViews>
  <sheetFormatPr defaultColWidth="9.140625" defaultRowHeight="15" x14ac:dyDescent="0.25"/>
  <cols>
    <col min="1" max="1" width="44.140625" style="1" bestFit="1" customWidth="1"/>
    <col min="2" max="2" width="14" style="1" bestFit="1" customWidth="1"/>
    <col min="3" max="14" width="9.7109375" style="1" bestFit="1" customWidth="1"/>
    <col min="15" max="16384" width="9.140625" style="1"/>
  </cols>
  <sheetData>
    <row r="1" spans="1:15" x14ac:dyDescent="0.25">
      <c r="A1" s="1" t="s">
        <v>54</v>
      </c>
    </row>
    <row r="2" spans="1:15" x14ac:dyDescent="0.25">
      <c r="A2" s="1" t="s">
        <v>219</v>
      </c>
    </row>
    <row r="3" spans="1:15" x14ac:dyDescent="0.25">
      <c r="A3" s="1" t="s">
        <v>53</v>
      </c>
    </row>
    <row r="12" spans="1:15" x14ac:dyDescent="0.25">
      <c r="A12" s="1" t="s">
        <v>151</v>
      </c>
      <c r="B12" s="1" t="s">
        <v>152</v>
      </c>
      <c r="C12" s="2">
        <v>45627</v>
      </c>
      <c r="D12" s="2">
        <v>45597</v>
      </c>
      <c r="E12" s="2">
        <v>45566</v>
      </c>
      <c r="F12" s="2">
        <v>45536</v>
      </c>
      <c r="G12" s="2">
        <v>45505</v>
      </c>
      <c r="H12" s="2">
        <v>45474</v>
      </c>
      <c r="I12" s="2">
        <v>45444</v>
      </c>
      <c r="J12" s="2">
        <v>45413</v>
      </c>
      <c r="K12" s="2">
        <v>45383</v>
      </c>
      <c r="L12" s="2">
        <v>45352</v>
      </c>
      <c r="M12" s="2">
        <v>45323</v>
      </c>
      <c r="N12" s="2">
        <v>45292</v>
      </c>
    </row>
    <row r="13" spans="1:15" x14ac:dyDescent="0.25">
      <c r="A13" s="1" t="s">
        <v>153</v>
      </c>
      <c r="B13" s="69">
        <v>-7954222</v>
      </c>
      <c r="C13" s="69">
        <v>-629278</v>
      </c>
      <c r="D13" s="69">
        <v>-635383</v>
      </c>
      <c r="E13" s="69">
        <v>-641487</v>
      </c>
      <c r="F13" s="69">
        <v>-647591</v>
      </c>
      <c r="G13" s="69">
        <v>-653695</v>
      </c>
      <c r="H13" s="69">
        <v>-659800</v>
      </c>
      <c r="I13" s="69">
        <v>-665904</v>
      </c>
      <c r="J13" s="69">
        <v>-672008</v>
      </c>
      <c r="K13" s="69">
        <v>-678113</v>
      </c>
      <c r="L13" s="69">
        <v>-684217</v>
      </c>
      <c r="M13" s="69">
        <v>-690321</v>
      </c>
      <c r="N13" s="69">
        <v>-696425</v>
      </c>
      <c r="O13" s="69"/>
    </row>
    <row r="14" spans="1:15" x14ac:dyDescent="0.25">
      <c r="A14" s="1" t="s">
        <v>52</v>
      </c>
      <c r="B14" s="69">
        <v>-7954222</v>
      </c>
      <c r="C14" s="69">
        <v>-629278</v>
      </c>
      <c r="D14" s="69">
        <v>-635383</v>
      </c>
      <c r="E14" s="69">
        <v>-641487</v>
      </c>
      <c r="F14" s="69">
        <v>-647591</v>
      </c>
      <c r="G14" s="69">
        <v>-653695</v>
      </c>
      <c r="H14" s="69">
        <v>-659800</v>
      </c>
      <c r="I14" s="69">
        <v>-665904</v>
      </c>
      <c r="J14" s="69">
        <v>-672008</v>
      </c>
      <c r="K14" s="69">
        <v>-678113</v>
      </c>
      <c r="L14" s="69">
        <v>-684217</v>
      </c>
      <c r="M14" s="69">
        <v>-690321</v>
      </c>
      <c r="N14" s="69">
        <v>-696425</v>
      </c>
      <c r="O14" s="69"/>
    </row>
    <row r="15" spans="1:15" x14ac:dyDescent="0.25">
      <c r="A15" s="1" t="s">
        <v>51</v>
      </c>
      <c r="B15" s="69">
        <v>-7954222</v>
      </c>
      <c r="C15" s="69">
        <v>-629278</v>
      </c>
      <c r="D15" s="69">
        <v>-635383</v>
      </c>
      <c r="E15" s="69">
        <v>-641487</v>
      </c>
      <c r="F15" s="69">
        <v>-647591</v>
      </c>
      <c r="G15" s="69">
        <v>-653695</v>
      </c>
      <c r="H15" s="69">
        <v>-659800</v>
      </c>
      <c r="I15" s="69">
        <v>-665904</v>
      </c>
      <c r="J15" s="69">
        <v>-672008</v>
      </c>
      <c r="K15" s="69">
        <v>-678113</v>
      </c>
      <c r="L15" s="69">
        <v>-684217</v>
      </c>
      <c r="M15" s="69">
        <v>-690321</v>
      </c>
      <c r="N15" s="69">
        <v>-696425</v>
      </c>
      <c r="O15" s="69"/>
    </row>
    <row r="16" spans="1:15" x14ac:dyDescent="0.25">
      <c r="B16" s="3"/>
    </row>
    <row r="17" spans="2:2" x14ac:dyDescent="0.25">
      <c r="B17" s="3"/>
    </row>
    <row r="18" spans="2:2" x14ac:dyDescent="0.25">
      <c r="B18" s="3"/>
    </row>
  </sheetData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A4" sqref="A4"/>
    </sheetView>
  </sheetViews>
  <sheetFormatPr defaultColWidth="9.140625" defaultRowHeight="15" x14ac:dyDescent="0.25"/>
  <cols>
    <col min="1" max="1" width="44.140625" style="1" bestFit="1" customWidth="1"/>
    <col min="2" max="2" width="14" style="1" bestFit="1" customWidth="1"/>
    <col min="3" max="14" width="12.28515625" style="1" bestFit="1" customWidth="1"/>
    <col min="15" max="16384" width="9.140625" style="1"/>
  </cols>
  <sheetData>
    <row r="1" spans="1:15" x14ac:dyDescent="0.25">
      <c r="A1" s="1" t="s">
        <v>54</v>
      </c>
    </row>
    <row r="2" spans="1:15" x14ac:dyDescent="0.25">
      <c r="A2" s="1" t="s">
        <v>219</v>
      </c>
    </row>
    <row r="3" spans="1:15" x14ac:dyDescent="0.25">
      <c r="A3" s="1" t="s">
        <v>53</v>
      </c>
    </row>
    <row r="12" spans="1:15" x14ac:dyDescent="0.25">
      <c r="A12" s="1" t="s">
        <v>151</v>
      </c>
      <c r="B12" s="1" t="s">
        <v>152</v>
      </c>
      <c r="C12" s="2">
        <v>45627</v>
      </c>
      <c r="D12" s="2">
        <v>45597</v>
      </c>
      <c r="E12" s="2">
        <v>45566</v>
      </c>
      <c r="F12" s="2">
        <v>45536</v>
      </c>
      <c r="G12" s="2">
        <v>45505</v>
      </c>
      <c r="H12" s="2">
        <v>45474</v>
      </c>
      <c r="I12" s="2">
        <v>45444</v>
      </c>
      <c r="J12" s="2">
        <v>45413</v>
      </c>
      <c r="K12" s="2">
        <v>45383</v>
      </c>
      <c r="L12" s="2">
        <v>45352</v>
      </c>
      <c r="M12" s="2">
        <v>45323</v>
      </c>
      <c r="N12" s="2">
        <v>45292</v>
      </c>
    </row>
    <row r="13" spans="1:15" x14ac:dyDescent="0.25">
      <c r="A13" s="1" t="s">
        <v>154</v>
      </c>
      <c r="B13" s="69">
        <v>-4219414</v>
      </c>
      <c r="C13" s="69">
        <v>-334031</v>
      </c>
      <c r="D13" s="69">
        <v>-337228</v>
      </c>
      <c r="E13" s="69">
        <v>-340426</v>
      </c>
      <c r="F13" s="69">
        <v>-343624</v>
      </c>
      <c r="G13" s="69">
        <v>-346821</v>
      </c>
      <c r="H13" s="69">
        <v>-350019</v>
      </c>
      <c r="I13" s="69">
        <v>-353217</v>
      </c>
      <c r="J13" s="69">
        <v>-356414</v>
      </c>
      <c r="K13" s="69">
        <v>-359612</v>
      </c>
      <c r="L13" s="69">
        <v>-362810</v>
      </c>
      <c r="M13" s="69">
        <v>-366007</v>
      </c>
      <c r="N13" s="69">
        <v>-369205</v>
      </c>
      <c r="O13" s="69"/>
    </row>
    <row r="14" spans="1:15" x14ac:dyDescent="0.25">
      <c r="A14" s="1" t="s">
        <v>52</v>
      </c>
      <c r="B14" s="69">
        <v>-4219414</v>
      </c>
      <c r="C14" s="69">
        <v>-334031</v>
      </c>
      <c r="D14" s="69">
        <v>-337228</v>
      </c>
      <c r="E14" s="69">
        <v>-340426</v>
      </c>
      <c r="F14" s="69">
        <v>-343624</v>
      </c>
      <c r="G14" s="69">
        <v>-346821</v>
      </c>
      <c r="H14" s="69">
        <v>-350019</v>
      </c>
      <c r="I14" s="69">
        <v>-353217</v>
      </c>
      <c r="J14" s="69">
        <v>-356414</v>
      </c>
      <c r="K14" s="69">
        <v>-359612</v>
      </c>
      <c r="L14" s="69">
        <v>-362810</v>
      </c>
      <c r="M14" s="69">
        <v>-366007</v>
      </c>
      <c r="N14" s="69">
        <v>-369205</v>
      </c>
      <c r="O14" s="69"/>
    </row>
    <row r="15" spans="1:15" x14ac:dyDescent="0.25">
      <c r="A15" s="1" t="s">
        <v>51</v>
      </c>
      <c r="B15" s="69">
        <v>-4219414</v>
      </c>
      <c r="C15" s="69">
        <v>-334031</v>
      </c>
      <c r="D15" s="69">
        <v>-337228</v>
      </c>
      <c r="E15" s="69">
        <v>-340426</v>
      </c>
      <c r="F15" s="69">
        <v>-343624</v>
      </c>
      <c r="G15" s="69">
        <v>-346821</v>
      </c>
      <c r="H15" s="69">
        <v>-350019</v>
      </c>
      <c r="I15" s="69">
        <v>-353217</v>
      </c>
      <c r="J15" s="69">
        <v>-356414</v>
      </c>
      <c r="K15" s="69">
        <v>-359612</v>
      </c>
      <c r="L15" s="69">
        <v>-362810</v>
      </c>
      <c r="M15" s="69">
        <v>-366007</v>
      </c>
      <c r="N15" s="69">
        <v>-369205</v>
      </c>
      <c r="O15" s="69"/>
    </row>
    <row r="16" spans="1:15" x14ac:dyDescent="0.25"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</row>
  </sheetData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F15" sqref="F15"/>
    </sheetView>
  </sheetViews>
  <sheetFormatPr defaultColWidth="9.140625" defaultRowHeight="15" x14ac:dyDescent="0.25"/>
  <cols>
    <col min="1" max="1" width="41.7109375" style="1" bestFit="1" customWidth="1"/>
    <col min="2" max="2" width="6.42578125" style="1" bestFit="1" customWidth="1"/>
    <col min="3" max="3" width="5.5703125" style="1" bestFit="1" customWidth="1"/>
    <col min="4" max="4" width="8.5703125" style="1" bestFit="1" customWidth="1"/>
    <col min="5" max="5" width="10" style="1" bestFit="1" customWidth="1"/>
    <col min="6" max="6" width="60.28515625" style="1" bestFit="1" customWidth="1"/>
    <col min="7" max="7" width="8.140625" style="1" bestFit="1" customWidth="1"/>
    <col min="8" max="8" width="10.140625" style="1" bestFit="1" customWidth="1"/>
    <col min="9" max="9" width="16.7109375" style="1" bestFit="1" customWidth="1"/>
    <col min="10" max="10" width="16" style="1" bestFit="1" customWidth="1"/>
    <col min="11" max="13" width="14.42578125" style="1" bestFit="1" customWidth="1"/>
    <col min="14" max="14" width="6.5703125" style="1" bestFit="1" customWidth="1"/>
    <col min="15" max="15" width="6" style="1" bestFit="1" customWidth="1"/>
    <col min="16" max="16" width="7.28515625" style="1" bestFit="1" customWidth="1"/>
    <col min="17" max="18" width="6.85546875" style="1" bestFit="1" customWidth="1"/>
    <col min="19" max="20" width="7.28515625" style="1" bestFit="1" customWidth="1"/>
    <col min="21" max="16384" width="9.140625" style="1"/>
  </cols>
  <sheetData>
    <row r="1" spans="1:11" x14ac:dyDescent="0.25">
      <c r="I1" s="40" t="s">
        <v>157</v>
      </c>
      <c r="J1" s="40" t="s">
        <v>158</v>
      </c>
    </row>
    <row r="2" spans="1:11" x14ac:dyDescent="0.25">
      <c r="A2" s="176" t="s">
        <v>220</v>
      </c>
      <c r="B2" s="177"/>
      <c r="C2" s="177"/>
      <c r="D2" s="178"/>
      <c r="I2" s="40" t="s">
        <v>174</v>
      </c>
      <c r="J2" s="40" t="s">
        <v>174</v>
      </c>
    </row>
    <row r="3" spans="1:11" x14ac:dyDescent="0.25">
      <c r="A3" s="179" t="s">
        <v>159</v>
      </c>
      <c r="B3" s="180">
        <v>0.51</v>
      </c>
      <c r="C3" s="180">
        <v>0.05</v>
      </c>
      <c r="D3" s="181">
        <v>2.5499999999999998E-2</v>
      </c>
      <c r="H3" s="1" t="s">
        <v>160</v>
      </c>
      <c r="I3" s="64">
        <f>+Electric!D17</f>
        <v>192691655.5467127</v>
      </c>
      <c r="J3" s="64">
        <f>+Gas!D17</f>
        <v>81780135.711361498</v>
      </c>
    </row>
    <row r="4" spans="1:11" x14ac:dyDescent="0.25">
      <c r="A4" s="179" t="s">
        <v>161</v>
      </c>
      <c r="B4" s="180">
        <v>0.49</v>
      </c>
      <c r="C4" s="180">
        <v>9.4E-2</v>
      </c>
      <c r="D4" s="181">
        <v>4.6100000000000002E-2</v>
      </c>
      <c r="I4" s="64"/>
      <c r="J4" s="64"/>
    </row>
    <row r="5" spans="1:11" ht="23.25" x14ac:dyDescent="0.25">
      <c r="A5" s="179" t="s">
        <v>162</v>
      </c>
      <c r="B5" s="182">
        <v>1</v>
      </c>
      <c r="C5" s="177"/>
      <c r="D5" s="183">
        <v>7.1599999999999997E-2</v>
      </c>
      <c r="H5" s="166" t="s">
        <v>163</v>
      </c>
      <c r="I5" s="217">
        <f>+Electric!F17+I6</f>
        <v>0</v>
      </c>
      <c r="J5" s="218">
        <f>+Gas!F17+J6</f>
        <v>0</v>
      </c>
      <c r="K5" s="167" t="s">
        <v>164</v>
      </c>
    </row>
    <row r="6" spans="1:11" x14ac:dyDescent="0.25">
      <c r="A6" s="179"/>
      <c r="B6" s="184"/>
      <c r="C6" s="184"/>
      <c r="D6" s="185"/>
      <c r="F6" s="1" t="s">
        <v>165</v>
      </c>
      <c r="G6" s="168">
        <f>+D4</f>
        <v>4.6100000000000002E-2</v>
      </c>
      <c r="H6" s="169">
        <f>G6/G9</f>
        <v>0.64385474860335201</v>
      </c>
      <c r="I6" s="170">
        <f>I3*$H$6</f>
        <v>124065437.4399924</v>
      </c>
      <c r="J6" s="170">
        <f>J3*$H$6</f>
        <v>52654528.719186664</v>
      </c>
    </row>
    <row r="7" spans="1:11" x14ac:dyDescent="0.25">
      <c r="A7" s="179" t="s">
        <v>166</v>
      </c>
      <c r="B7" s="180">
        <v>0.51</v>
      </c>
      <c r="C7" s="180">
        <v>3.9500000000000007E-2</v>
      </c>
      <c r="D7" s="181">
        <v>2.01E-2</v>
      </c>
      <c r="G7" s="171"/>
      <c r="H7" s="169"/>
      <c r="I7" s="69"/>
      <c r="J7" s="69"/>
    </row>
    <row r="8" spans="1:11" x14ac:dyDescent="0.25">
      <c r="A8" s="179" t="s">
        <v>161</v>
      </c>
      <c r="B8" s="180">
        <v>0.49</v>
      </c>
      <c r="C8" s="180">
        <v>9.4E-2</v>
      </c>
      <c r="D8" s="181">
        <v>4.6100000000000002E-2</v>
      </c>
      <c r="F8" s="1" t="s">
        <v>167</v>
      </c>
      <c r="G8" s="172">
        <f>+D3</f>
        <v>2.5499999999999998E-2</v>
      </c>
      <c r="H8" s="173">
        <f>G8/G9</f>
        <v>0.35614525139664804</v>
      </c>
      <c r="I8" s="174">
        <f>I3*$H$8</f>
        <v>68626218.106720299</v>
      </c>
      <c r="J8" s="174">
        <f>J3*$H$8</f>
        <v>29125606.992174834</v>
      </c>
    </row>
    <row r="9" spans="1:11" x14ac:dyDescent="0.25">
      <c r="A9" s="186" t="s">
        <v>168</v>
      </c>
      <c r="B9" s="187">
        <v>1</v>
      </c>
      <c r="C9" s="188"/>
      <c r="D9" s="189">
        <v>6.6200000000000009E-2</v>
      </c>
      <c r="F9" s="1" t="s">
        <v>169</v>
      </c>
      <c r="G9" s="140">
        <f>SUM(G6:G8)</f>
        <v>7.1599999999999997E-2</v>
      </c>
      <c r="H9" s="169">
        <f>SUM(H6:H8)</f>
        <v>1</v>
      </c>
      <c r="I9" s="69">
        <f>SUM(I6:I8)</f>
        <v>192691655.5467127</v>
      </c>
      <c r="J9" s="69">
        <f>SUM(J6:J8)</f>
        <v>81780135.711361498</v>
      </c>
    </row>
    <row r="10" spans="1:11" x14ac:dyDescent="0.25">
      <c r="H10" s="175"/>
    </row>
    <row r="11" spans="1:11" x14ac:dyDescent="0.25">
      <c r="F11" s="1" t="s">
        <v>170</v>
      </c>
      <c r="H11" s="175"/>
    </row>
    <row r="12" spans="1:11" x14ac:dyDescent="0.25">
      <c r="F12" s="1" t="s">
        <v>171</v>
      </c>
      <c r="G12" s="140">
        <f>G9</f>
        <v>7.1599999999999997E-2</v>
      </c>
      <c r="I12" s="68">
        <f>I8*$G$12</f>
        <v>4913637.2164411731</v>
      </c>
      <c r="J12" s="68">
        <f>J8*$G$12</f>
        <v>2085393.460639718</v>
      </c>
    </row>
    <row r="13" spans="1:11" x14ac:dyDescent="0.25">
      <c r="F13" s="1" t="s">
        <v>172</v>
      </c>
      <c r="G13" s="140">
        <f>+D3</f>
        <v>2.5499999999999998E-2</v>
      </c>
      <c r="I13" s="69">
        <f>I3*$G$13</f>
        <v>4913637.2164411731</v>
      </c>
      <c r="J13" s="69">
        <f>J3*$G$13</f>
        <v>2085393.460639718</v>
      </c>
    </row>
    <row r="14" spans="1:11" x14ac:dyDescent="0.25">
      <c r="F14" s="1" t="s">
        <v>173</v>
      </c>
      <c r="G14" s="140">
        <f>+D4</f>
        <v>4.6100000000000002E-2</v>
      </c>
      <c r="I14" s="69">
        <f>+I3*G14</f>
        <v>8883085.3207034562</v>
      </c>
      <c r="J14" s="69">
        <f>+J3*G14</f>
        <v>3770064.2562937653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C112CBC298CC4D8D30AFC02D6F87A6" ma:contentTypeVersion="19" ma:contentTypeDescription="" ma:contentTypeScope="" ma:versionID="1e799e0b47f3798d776541c2d16007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70F968B-3DAE-49B5-A126-EF3D87B0C09E}"/>
</file>

<file path=customXml/itemProps2.xml><?xml version="1.0" encoding="utf-8"?>
<ds:datastoreItem xmlns:ds="http://schemas.openxmlformats.org/officeDocument/2006/customXml" ds:itemID="{F9B40AA4-A5D7-4EEF-9E7B-5369EE0FC683}"/>
</file>

<file path=customXml/itemProps3.xml><?xml version="1.0" encoding="utf-8"?>
<ds:datastoreItem xmlns:ds="http://schemas.openxmlformats.org/officeDocument/2006/customXml" ds:itemID="{874B5DE1-3419-444B-A23A-EC0C35063509}"/>
</file>

<file path=customXml/itemProps4.xml><?xml version="1.0" encoding="utf-8"?>
<ds:datastoreItem xmlns:ds="http://schemas.openxmlformats.org/officeDocument/2006/customXml" ds:itemID="{07CE2F85-1DEA-4A97-A13A-7E51D584FE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Electric</vt:lpstr>
      <vt:lpstr>Gas</vt:lpstr>
      <vt:lpstr>2024 AMI in  Ratebase</vt:lpstr>
      <vt:lpstr>AMI</vt:lpstr>
      <vt:lpstr>Plant Assets</vt:lpstr>
      <vt:lpstr>AMI DFIT</vt:lpstr>
      <vt:lpstr>45600155</vt:lpstr>
      <vt:lpstr>49500071</vt:lpstr>
      <vt:lpstr>AMI Debt Return proof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Oliver</dc:creator>
  <cp:lastModifiedBy>Kellogg, Anh</cp:lastModifiedBy>
  <cp:lastPrinted>2021-02-03T23:52:48Z</cp:lastPrinted>
  <dcterms:created xsi:type="dcterms:W3CDTF">2019-03-25T22:33:27Z</dcterms:created>
  <dcterms:modified xsi:type="dcterms:W3CDTF">2025-03-28T17:13:40Z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0x0101006E56B4D1795A2E4DB2F0B01679ED314A00BFC112CBC298CC4D8D30AFC02D6F87A6</vt:lpwstr>
  </property>
  <property fmtid="{D5CDD505-2E9C-101B-9397-08002B2CF9AE}" pid="3" name="_docset_NoMedatataSyncRequired">
    <vt:lpwstr>False</vt:lpwstr>
  </property>
</Properties>
</file>