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GHG\WA\2024 (Reporting Year 2023)\1_ 2024 UTC Energy &amp; Emissions Intensity Report\5_Final Filing\"/>
    </mc:Choice>
  </mc:AlternateContent>
  <xr:revisionPtr revIDLastSave="0" documentId="13_ncr:1_{27ABEFA5-0D5C-49BF-A323-AEF21DFC5F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2017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5" i="4" l="1"/>
  <c r="E4" i="4"/>
  <c r="E6" i="4" l="1"/>
  <c r="E7" i="4"/>
  <c r="C3" i="4"/>
  <c r="C7" i="4" s="1"/>
  <c r="C4" i="4" l="1"/>
  <c r="C5" i="4"/>
  <c r="C6" i="4"/>
  <c r="H1" i="3"/>
  <c r="B16" i="3" l="1"/>
  <c r="B15" i="3"/>
  <c r="C15" i="3" s="1"/>
  <c r="D15" i="3" s="1"/>
  <c r="C16" i="3" l="1"/>
  <c r="D16" i="3" s="1"/>
  <c r="F10" i="1" l="1"/>
  <c r="G33" i="4" l="1"/>
  <c r="G30" i="4"/>
  <c r="G7" i="4"/>
  <c r="G6" i="4"/>
  <c r="B30" i="4" l="1"/>
  <c r="B4" i="3" l="1"/>
  <c r="B6" i="4" l="1"/>
  <c r="C12" i="3" l="1"/>
  <c r="C4" i="3"/>
  <c r="D4" i="3" s="1"/>
  <c r="B40" i="4" l="1"/>
  <c r="B38" i="4"/>
  <c r="B37" i="4"/>
  <c r="B36" i="4"/>
  <c r="B35" i="4"/>
  <c r="B34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1" i="4"/>
  <c r="B32" i="4"/>
  <c r="B33" i="4"/>
  <c r="B8" i="4"/>
  <c r="B5" i="4"/>
  <c r="B7" i="4"/>
  <c r="B4" i="4"/>
  <c r="B17" i="3"/>
  <c r="B14" i="3"/>
  <c r="C14" i="3" s="1"/>
  <c r="B13" i="3"/>
  <c r="C13" i="3" s="1"/>
  <c r="B11" i="3"/>
  <c r="C11" i="3" s="1"/>
  <c r="B10" i="3"/>
  <c r="C10" i="3" s="1"/>
  <c r="B9" i="3"/>
  <c r="C9" i="3" s="1"/>
  <c r="B7" i="3"/>
  <c r="C7" i="3" s="1"/>
  <c r="B8" i="3"/>
  <c r="C8" i="3" s="1"/>
  <c r="B5" i="3"/>
  <c r="C5" i="3" s="1"/>
  <c r="B6" i="3"/>
  <c r="C6" i="3" s="1"/>
  <c r="B41" i="4" l="1"/>
  <c r="E20" i="1" s="1"/>
  <c r="B20" i="3"/>
  <c r="G41" i="4" l="1"/>
  <c r="H41" i="4" l="1"/>
  <c r="B18" i="3" l="1"/>
  <c r="E21" i="1" s="1"/>
  <c r="E8" i="4" l="1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/>
  <c r="E41" i="4" l="1"/>
  <c r="G20" i="1" s="1"/>
  <c r="I20" i="1" s="1"/>
  <c r="I22" i="1" s="1"/>
  <c r="H10" i="1"/>
  <c r="E5" i="1"/>
  <c r="H12" i="1" l="1"/>
  <c r="H13" i="1"/>
  <c r="H14" i="1"/>
  <c r="H24" i="1" l="1"/>
  <c r="F14" i="1"/>
  <c r="F13" i="1"/>
  <c r="E22" i="1" l="1"/>
  <c r="H11" i="1"/>
  <c r="F12" i="1" l="1"/>
  <c r="F11" i="1"/>
  <c r="F18" i="3" l="1"/>
  <c r="D18" i="3"/>
  <c r="G21" i="1" l="1"/>
  <c r="G22" i="1" s="1"/>
  <c r="H22" i="1" s="1"/>
  <c r="D21" i="3"/>
  <c r="F21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Avcisert, Tuba {Mkt Function}</author>
  </authors>
  <commentList>
    <comment ref="G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G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sharedStrings.xml><?xml version="1.0" encoding="utf-8"?>
<sst xmlns="http://schemas.openxmlformats.org/spreadsheetml/2006/main" count="157" uniqueCount="114">
  <si>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</si>
  <si>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</si>
  <si>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</si>
  <si>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</si>
  <si>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</si>
  <si>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</si>
  <si>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</si>
  <si>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</si>
  <si>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</si>
  <si>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</si>
  <si>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</si>
  <si>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</si>
  <si>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</si>
  <si>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</si>
  <si>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</si>
  <si>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</si>
  <si>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</si>
  <si>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</si>
  <si>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</si>
  <si>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</si>
  <si>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</si>
  <si>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</si>
  <si>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</si>
  <si>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</si>
  <si>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</si>
  <si>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</si>
  <si>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</si>
  <si>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</si>
  <si>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</si>
  <si>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</si>
  <si>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</si>
  <si>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</si>
  <si>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</si>
  <si>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</si>
  <si>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</si>
  <si>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</si>
  <si>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</si>
  <si>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</si>
  <si>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</si>
  <si>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</si>
  <si>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</si>
  <si>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</si>
  <si>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</si>
  <si>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</si>
  <si>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</si>
  <si>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</si>
  <si>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</si>
  <si>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</si>
  <si>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</si>
  <si>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</si>
  <si>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</si>
  <si>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</si>
  <si>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</si>
  <si>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</si>
  <si>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</si>
  <si>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</si>
  <si>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</si>
  <si>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</si>
  <si>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</si>
  <si>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</si>
  <si>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</si>
  <si>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</si>
  <si>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</si>
  <si>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</si>
  <si>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</si>
  <si>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</si>
  <si>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</si>
  <si>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</si>
  <si>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</si>
  <si>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</si>
  <si>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</si>
  <si>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</si>
  <si>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</si>
  <si>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</si>
  <si>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</si>
  <si>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</si>
  <si>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</si>
  <si>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</si>
  <si>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</si>
  <si>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</si>
  <si>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</si>
  <si>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</si>
  <si>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</si>
  <si>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</si>
  <si>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</si>
  <si>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</si>
  <si>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</si>
  <si>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</si>
  <si>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</si>
  <si>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</si>
  <si>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</si>
  <si>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</si>
  <si>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</si>
  <si>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Market Purchases - Nevada-Oregon Border</t>
  </si>
  <si>
    <t>Other Firm Purchases (1)</t>
  </si>
  <si>
    <t>(1) Third party imbalance , transmission losses, misc exchanges. Per FERC accounting booked to purchase power</t>
  </si>
  <si>
    <t>Summary Energy and Emissions Intensity Report - 2017</t>
  </si>
  <si>
    <t>2017 Washington - WCA Allocation Factor</t>
  </si>
  <si>
    <t xml:space="preserve">Hermiston </t>
  </si>
  <si>
    <t>CAGW</t>
  </si>
  <si>
    <t>CAEW</t>
  </si>
  <si>
    <t>WA Situs</t>
  </si>
  <si>
    <t>EIM Sales</t>
  </si>
  <si>
    <r>
      <t xml:space="preserve">EIM </t>
    </r>
    <r>
      <rPr>
        <sz val="11"/>
        <rFont val="Calibri"/>
        <family val="2"/>
      </rPr>
      <t>Transfers from PACE to PACW</t>
    </r>
  </si>
  <si>
    <t>Annual (Unallocated) MWh 2017</t>
  </si>
  <si>
    <t>Updated 5/31/2018</t>
  </si>
  <si>
    <t>EIM Purchases</t>
  </si>
  <si>
    <t>EIM Sales from source other than WCA Generation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</si>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</sst>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5" fillId="0" borderId="0"/>
    <xf numFmtId="0" fontId="45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5" fillId="0" borderId="0"/>
    <xf numFmtId="5" fontId="45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5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6" fillId="0" borderId="0"/>
    <xf numFmtId="0" fontId="13" fillId="0" borderId="40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7" fillId="0" borderId="0"/>
    <xf numFmtId="0" fontId="11" fillId="0" borderId="0"/>
    <xf numFmtId="0" fontId="36" fillId="0" borderId="0"/>
    <xf numFmtId="37" fontId="45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5" fillId="0" borderId="0"/>
    <xf numFmtId="0" fontId="45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/>
    <xf numFmtId="37" fontId="49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5" fillId="0" borderId="41"/>
    <xf numFmtId="0" fontId="45" fillId="0" borderId="42"/>
    <xf numFmtId="38" fontId="18" fillId="0" borderId="43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2" borderId="28" xfId="0" applyFill="1" applyBorder="1"/>
    <xf numFmtId="165" fontId="0" fillId="0" borderId="19" xfId="0" applyNumberFormat="1" applyBorder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/>
    <xf numFmtId="0" fontId="0" fillId="0" borderId="33" xfId="0" applyBorder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27" xfId="0" applyBorder="1"/>
    <xf numFmtId="165" fontId="0" fillId="0" borderId="0" xfId="0" applyNumberFormat="1"/>
    <xf numFmtId="0" fontId="0" fillId="0" borderId="37" xfId="0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165" fontId="0" fillId="0" borderId="0" xfId="0" applyNumberFormat="1" applyAlignment="1">
      <alignment horizontal="center"/>
    </xf>
    <xf numFmtId="165" fontId="33" fillId="2" borderId="2" xfId="1" applyNumberFormat="1" applyFont="1" applyFill="1" applyBorder="1" applyAlignment="1"/>
    <xf numFmtId="0" fontId="0" fillId="0" borderId="5" xfId="0" applyBorder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/>
    <xf numFmtId="165" fontId="33" fillId="0" borderId="2" xfId="1" applyNumberFormat="1" applyFont="1" applyBorder="1"/>
    <xf numFmtId="0" fontId="37" fillId="0" borderId="1" xfId="0" applyFont="1" applyBorder="1"/>
    <xf numFmtId="0" fontId="38" fillId="0" borderId="4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" fontId="33" fillId="0" borderId="2" xfId="0" applyNumberFormat="1" applyFont="1" applyBorder="1"/>
    <xf numFmtId="3" fontId="0" fillId="0" borderId="0" xfId="0" applyNumberFormat="1"/>
    <xf numFmtId="3" fontId="50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29" xfId="0" applyNumberFormat="1" applyFont="1" applyBorder="1"/>
    <xf numFmtId="37" fontId="0" fillId="0" borderId="6" xfId="0" applyNumberFormat="1" applyBorder="1" applyAlignment="1">
      <alignment horizontal="center"/>
    </xf>
    <xf numFmtId="165" fontId="33" fillId="2" borderId="5" xfId="1" applyNumberFormat="1" applyFont="1" applyFill="1" applyBorder="1"/>
    <xf numFmtId="43" fontId="0" fillId="0" borderId="0" xfId="0" applyNumberFormat="1"/>
    <xf numFmtId="43" fontId="0" fillId="0" borderId="16" xfId="0" applyNumberFormat="1" applyBorder="1"/>
    <xf numFmtId="10" fontId="0" fillId="0" borderId="0" xfId="0" applyNumberFormat="1"/>
    <xf numFmtId="10" fontId="2" fillId="0" borderId="31" xfId="2" applyNumberFormat="1" applyFont="1" applyBorder="1" applyAlignment="1"/>
    <xf numFmtId="0" fontId="51" fillId="0" borderId="0" xfId="0" applyFont="1"/>
    <xf numFmtId="10" fontId="0" fillId="0" borderId="0" xfId="2" applyNumberFormat="1" applyFont="1" applyAlignment="1"/>
    <xf numFmtId="165" fontId="0" fillId="0" borderId="0" xfId="1" applyNumberFormat="1" applyFont="1"/>
    <xf numFmtId="171" fontId="33" fillId="36" borderId="0" xfId="31" applyNumberFormat="1" applyFont="1" applyFill="1" applyBorder="1" applyAlignment="1"/>
    <xf numFmtId="37" fontId="33" fillId="36" borderId="2" xfId="1" applyNumberFormat="1" applyFont="1" applyFill="1" applyBorder="1" applyAlignment="1">
      <alignment horizontal="center" vertical="center"/>
    </xf>
    <xf numFmtId="37" fontId="33" fillId="36" borderId="5" xfId="1" applyNumberFormat="1" applyFont="1" applyFill="1" applyBorder="1" applyAlignment="1">
      <alignment horizontal="center" vertical="center"/>
    </xf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44" xfId="0" applyBorder="1"/>
    <xf numFmtId="41" fontId="0" fillId="0" borderId="0" xfId="0" applyNumberFormat="1"/>
    <xf numFmtId="165" fontId="0" fillId="0" borderId="0" xfId="1" applyNumberFormat="1" applyFont="1" applyFill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0" fontId="0" fillId="0" borderId="0" xfId="0" applyAlignment="1">
      <alignment horizontal="center" vertical="center" wrapText="1"/>
    </xf>
    <xf numFmtId="0" fontId="53" fillId="0" borderId="0" xfId="0" applyFont="1"/>
    <xf numFmtId="165" fontId="33" fillId="2" borderId="45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0" fillId="0" borderId="47" xfId="1" applyNumberFormat="1" applyFont="1" applyBorder="1" applyAlignment="1">
      <alignment horizontal="center"/>
    </xf>
    <xf numFmtId="165" fontId="2" fillId="0" borderId="47" xfId="1" applyNumberFormat="1" applyFont="1" applyBorder="1" applyAlignment="1">
      <alignment horizontal="center"/>
    </xf>
    <xf numFmtId="165" fontId="2" fillId="0" borderId="48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K32"/>
  <sheetViews>
    <sheetView tabSelected="1" zoomScaleNormal="100" workbookViewId="0"/>
  </sheetViews>
  <sheetFormatPr defaultRowHeight="14.5"/>
  <cols>
    <col min="2" max="4" width="10.453125" customWidth="1"/>
    <col min="5" max="5" width="15.54296875" customWidth="1"/>
    <col min="6" max="6" width="16.26953125" customWidth="1"/>
    <col min="7" max="8" width="15" customWidth="1"/>
    <col min="9" max="9" width="13.54296875" customWidth="1"/>
    <col min="10" max="10" width="13.26953125" bestFit="1" customWidth="1"/>
    <col min="11" max="11" width="9.7265625" bestFit="1" customWidth="1"/>
    <col min="12" max="12" width="14.54296875" customWidth="1"/>
  </cols>
  <sheetData>
    <row r="1" spans="2:8" ht="18.5">
      <c r="B1" s="1" t="s">
        <v>96</v>
      </c>
    </row>
    <row r="2" spans="2:8" ht="15" thickBot="1"/>
    <row r="3" spans="2:8">
      <c r="B3" s="37"/>
      <c r="C3" s="38" t="s">
        <v>13</v>
      </c>
      <c r="D3" s="39" t="s">
        <v>41</v>
      </c>
      <c r="E3" s="40"/>
      <c r="F3" s="2"/>
    </row>
    <row r="4" spans="2:8">
      <c r="B4" s="114" t="s">
        <v>14</v>
      </c>
      <c r="C4" s="116"/>
      <c r="D4" s="22">
        <v>2017</v>
      </c>
      <c r="E4" s="42" t="s">
        <v>37</v>
      </c>
      <c r="F4" s="2"/>
    </row>
    <row r="5" spans="2:8" ht="15" thickBot="1">
      <c r="B5" s="117" t="s">
        <v>19</v>
      </c>
      <c r="C5" s="118"/>
      <c r="D5" s="73">
        <v>303749</v>
      </c>
      <c r="E5" s="74">
        <f>+E15/D5</f>
        <v>15.176525790504661</v>
      </c>
    </row>
    <row r="6" spans="2:8">
      <c r="D6" s="12"/>
      <c r="F6" s="11"/>
    </row>
    <row r="7" spans="2:8" ht="19" thickBot="1">
      <c r="C7" s="36" t="s">
        <v>34</v>
      </c>
      <c r="D7" s="12"/>
      <c r="F7" s="11"/>
    </row>
    <row r="8" spans="2:8">
      <c r="B8" s="25"/>
      <c r="C8" s="26"/>
      <c r="D8" s="26"/>
      <c r="E8" s="26"/>
      <c r="F8" s="26"/>
      <c r="G8" s="27" t="s">
        <v>18</v>
      </c>
      <c r="H8" s="51" t="s">
        <v>38</v>
      </c>
    </row>
    <row r="9" spans="2:8">
      <c r="B9" s="28"/>
      <c r="C9" s="7"/>
      <c r="D9" s="7"/>
      <c r="E9" s="9" t="s">
        <v>12</v>
      </c>
      <c r="F9" s="18" t="s">
        <v>26</v>
      </c>
      <c r="G9" s="14" t="s">
        <v>33</v>
      </c>
      <c r="H9" s="52" t="s">
        <v>18</v>
      </c>
    </row>
    <row r="10" spans="2:8">
      <c r="B10" s="114" t="s">
        <v>10</v>
      </c>
      <c r="C10" s="115"/>
      <c r="D10" s="116"/>
      <c r="E10" s="47">
        <v>1873648.5407889823</v>
      </c>
      <c r="F10" s="8">
        <f>+E10/E15</f>
        <v>0.4064441790179229</v>
      </c>
      <c r="G10" s="47">
        <v>108880</v>
      </c>
      <c r="H10" s="87">
        <f>+E10/G10</f>
        <v>17.208381160809903</v>
      </c>
    </row>
    <row r="11" spans="2:8">
      <c r="B11" s="114" t="s">
        <v>15</v>
      </c>
      <c r="C11" s="115"/>
      <c r="D11" s="116"/>
      <c r="E11" s="47">
        <v>1686745.8408716919</v>
      </c>
      <c r="F11" s="8">
        <f>+E11/E15</f>
        <v>0.36590001464004673</v>
      </c>
      <c r="G11" s="48">
        <v>15909</v>
      </c>
      <c r="H11" s="53">
        <f>+E11/G11</f>
        <v>106.02463013839285</v>
      </c>
    </row>
    <row r="12" spans="2:8">
      <c r="B12" s="114" t="s">
        <v>16</v>
      </c>
      <c r="C12" s="115"/>
      <c r="D12" s="116"/>
      <c r="E12" s="47">
        <v>869483.21090597706</v>
      </c>
      <c r="F12" s="8">
        <f>+E12/E15</f>
        <v>0.18861402345913508</v>
      </c>
      <c r="G12" s="49">
        <v>486</v>
      </c>
      <c r="H12" s="53">
        <f>+E12/G12</f>
        <v>1789.0601047448088</v>
      </c>
    </row>
    <row r="13" spans="2:8">
      <c r="B13" s="114" t="s">
        <v>39</v>
      </c>
      <c r="C13" s="115"/>
      <c r="D13" s="116"/>
      <c r="E13" s="47">
        <v>167392.19365244347</v>
      </c>
      <c r="F13" s="8">
        <f>+E13/E15</f>
        <v>3.6311816886654295E-2</v>
      </c>
      <c r="G13" s="49">
        <v>5055</v>
      </c>
      <c r="H13" s="53">
        <f>+E13/G13</f>
        <v>33.114182720562503</v>
      </c>
    </row>
    <row r="14" spans="2:8">
      <c r="B14" s="119" t="s">
        <v>40</v>
      </c>
      <c r="C14" s="120"/>
      <c r="D14" s="121"/>
      <c r="E14" s="47">
        <v>12584.746120905504</v>
      </c>
      <c r="F14" s="8">
        <f>+E14/E15</f>
        <v>2.7299659962409665E-3</v>
      </c>
      <c r="G14" s="49">
        <v>239</v>
      </c>
      <c r="H14" s="53">
        <f>+E14/G14</f>
        <v>52.655841510064867</v>
      </c>
    </row>
    <row r="15" spans="2:8" ht="15" thickBot="1">
      <c r="B15" s="30"/>
      <c r="C15" s="44" t="s">
        <v>11</v>
      </c>
      <c r="D15" s="45"/>
      <c r="E15" s="41">
        <v>4609854.5323400004</v>
      </c>
      <c r="F15" s="46"/>
      <c r="G15" s="50"/>
      <c r="H15" s="54"/>
    </row>
    <row r="17" spans="2:11" ht="19" thickBot="1">
      <c r="C17" s="36" t="s">
        <v>35</v>
      </c>
    </row>
    <row r="18" spans="2:11">
      <c r="B18" s="25"/>
      <c r="C18" s="26"/>
      <c r="D18" s="26"/>
      <c r="E18" s="26"/>
      <c r="F18" s="27" t="s">
        <v>27</v>
      </c>
      <c r="G18" s="32" t="s">
        <v>4</v>
      </c>
      <c r="H18" s="33"/>
      <c r="I18" s="109" t="s">
        <v>112</v>
      </c>
    </row>
    <row r="19" spans="2:11" ht="16.5">
      <c r="B19" s="34"/>
      <c r="E19" s="18" t="s">
        <v>17</v>
      </c>
      <c r="F19" s="14" t="s">
        <v>28</v>
      </c>
      <c r="G19" s="10" t="s">
        <v>113</v>
      </c>
      <c r="H19" s="29"/>
      <c r="I19" s="110" t="s">
        <v>113</v>
      </c>
    </row>
    <row r="20" spans="2:11" ht="15" thickBot="1">
      <c r="B20" s="114" t="s">
        <v>31</v>
      </c>
      <c r="C20" s="115"/>
      <c r="D20" s="116"/>
      <c r="E20" s="76">
        <f>'Known Resources'!B41</f>
        <v>3772358.7858982575</v>
      </c>
      <c r="F20" s="8">
        <f>+E20/(E20+E21)</f>
        <v>0.82218109580030319</v>
      </c>
      <c r="G20" s="76">
        <f>'Known Resources'!E41</f>
        <v>2761600.636964974</v>
      </c>
      <c r="H20" s="75"/>
      <c r="I20" s="111">
        <f>G20*0.907185</f>
        <v>2505282.6738450699</v>
      </c>
      <c r="J20" s="101"/>
      <c r="K20" s="55"/>
    </row>
    <row r="21" spans="2:11" ht="16.5">
      <c r="B21" s="114" t="s">
        <v>32</v>
      </c>
      <c r="C21" s="115"/>
      <c r="D21" s="116"/>
      <c r="E21" s="77">
        <f>'Unknown Resources'!B18</f>
        <v>815874.64000687073</v>
      </c>
      <c r="F21" s="35">
        <f>+E21/(E20+E21)</f>
        <v>0.17781890419969681</v>
      </c>
      <c r="G21" s="78">
        <f>'Unknown Resources'!D18</f>
        <v>393014.54042415024</v>
      </c>
      <c r="H21" s="43" t="s">
        <v>36</v>
      </c>
      <c r="I21" s="112">
        <f>G21*0.907185</f>
        <v>356536.89585468272</v>
      </c>
      <c r="J21" s="101"/>
      <c r="K21" s="55"/>
    </row>
    <row r="22" spans="2:11" ht="17" thickBot="1">
      <c r="B22" s="30"/>
      <c r="C22" s="31"/>
      <c r="D22" s="31"/>
      <c r="E22" s="44">
        <f>+D4</f>
        <v>2017</v>
      </c>
      <c r="F22" s="31" t="s">
        <v>3</v>
      </c>
      <c r="G22" s="83">
        <f>SUM(G20:G21)</f>
        <v>3154615.1773891244</v>
      </c>
      <c r="H22" s="89">
        <f>+G22/H24</f>
        <v>1.314928142140074</v>
      </c>
      <c r="I22" s="113">
        <f>SUM(I20:I21)</f>
        <v>2861819.5696997526</v>
      </c>
    </row>
    <row r="23" spans="2:11">
      <c r="E23" s="2"/>
    </row>
    <row r="24" spans="2:11" ht="16.5">
      <c r="E24" s="55"/>
      <c r="G24" s="13" t="s">
        <v>25</v>
      </c>
      <c r="H24" s="19">
        <f>H30</f>
        <v>2399078</v>
      </c>
      <c r="I24" s="17"/>
    </row>
    <row r="26" spans="2:11">
      <c r="F26" s="17" t="s">
        <v>20</v>
      </c>
      <c r="G26" s="15"/>
      <c r="H26" s="15"/>
    </row>
    <row r="27" spans="2:11">
      <c r="F27" s="15"/>
      <c r="G27" s="15"/>
      <c r="H27" s="79" t="s">
        <v>24</v>
      </c>
    </row>
    <row r="28" spans="2:11" ht="16.5">
      <c r="F28" s="15"/>
      <c r="G28" s="15"/>
      <c r="H28" s="80" t="s">
        <v>2</v>
      </c>
    </row>
    <row r="29" spans="2:11">
      <c r="F29" s="15"/>
      <c r="G29" s="16" t="s">
        <v>21</v>
      </c>
      <c r="H29" s="81">
        <v>1131957</v>
      </c>
    </row>
    <row r="30" spans="2:11">
      <c r="F30" s="15"/>
      <c r="G30" s="16" t="s">
        <v>22</v>
      </c>
      <c r="H30" s="81">
        <v>2399078</v>
      </c>
    </row>
    <row r="31" spans="2:11">
      <c r="F31" s="15"/>
      <c r="G31" s="16" t="s">
        <v>23</v>
      </c>
      <c r="H31" s="81">
        <v>6946064</v>
      </c>
    </row>
    <row r="32" spans="2:11">
      <c r="H32" s="82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45"/>
  <sheetViews>
    <sheetView zoomScaleNormal="100" workbookViewId="0"/>
  </sheetViews>
  <sheetFormatPr defaultRowHeight="14.5"/>
  <cols>
    <col min="1" max="1" width="47.54296875" customWidth="1"/>
    <col min="2" max="5" width="14.81640625" customWidth="1"/>
    <col min="6" max="6" width="23.81640625" style="2" customWidth="1"/>
    <col min="7" max="7" width="31.453125" style="2" customWidth="1"/>
    <col min="8" max="8" width="10.54296875" bestFit="1" customWidth="1"/>
    <col min="9" max="9" width="29.26953125" bestFit="1" customWidth="1"/>
    <col min="10" max="10" width="10.54296875" customWidth="1"/>
  </cols>
  <sheetData>
    <row r="1" spans="1:11" ht="18.5">
      <c r="A1" s="1" t="s">
        <v>9</v>
      </c>
      <c r="B1" s="21">
        <v>2017</v>
      </c>
      <c r="J1" s="96">
        <v>0.22945340348812068</v>
      </c>
      <c r="K1" s="33" t="s">
        <v>100</v>
      </c>
    </row>
    <row r="2" spans="1:11" ht="30">
      <c r="A2" s="1"/>
      <c r="B2" s="5" t="s">
        <v>29</v>
      </c>
      <c r="C2" s="107" t="s">
        <v>111</v>
      </c>
      <c r="D2" s="5">
        <v>2017</v>
      </c>
      <c r="E2" s="5" t="s">
        <v>4</v>
      </c>
      <c r="G2" s="2" t="s">
        <v>105</v>
      </c>
      <c r="J2" s="97">
        <v>0.22614123237430531</v>
      </c>
      <c r="K2" s="29" t="s">
        <v>99</v>
      </c>
    </row>
    <row r="3" spans="1:11" ht="19" thickBot="1">
      <c r="A3" s="3" t="s">
        <v>0</v>
      </c>
      <c r="B3" s="6">
        <v>2017</v>
      </c>
      <c r="C3" s="108">
        <f>3.503%</f>
        <v>3.5029999999999999E-2</v>
      </c>
      <c r="D3" s="6" t="s">
        <v>6</v>
      </c>
      <c r="E3" s="6" t="s">
        <v>7</v>
      </c>
      <c r="F3" s="4"/>
      <c r="G3" s="2" t="s">
        <v>104</v>
      </c>
      <c r="H3" s="2" t="s">
        <v>102</v>
      </c>
      <c r="J3" s="97">
        <v>1</v>
      </c>
      <c r="K3" s="99" t="s">
        <v>101</v>
      </c>
    </row>
    <row r="4" spans="1:11">
      <c r="A4" s="57" t="s">
        <v>46</v>
      </c>
      <c r="B4" s="58">
        <f>G4*$J$1</f>
        <v>127780.7939987321</v>
      </c>
      <c r="C4" s="58">
        <f>B4*(1+$C$3)</f>
        <v>132256.95521250766</v>
      </c>
      <c r="D4" s="58">
        <v>2375.500837276184</v>
      </c>
      <c r="E4" s="65">
        <f>(+C4*D4)/2000</f>
        <v>157088.25392145535</v>
      </c>
      <c r="F4" s="2" t="s">
        <v>80</v>
      </c>
      <c r="G4" s="94">
        <v>556892.1273610465</v>
      </c>
      <c r="J4" s="103"/>
    </row>
    <row r="5" spans="1:11">
      <c r="A5" s="57" t="s">
        <v>45</v>
      </c>
      <c r="B5" s="58">
        <f t="shared" ref="B5:B7" si="0">G5*$J$1</f>
        <v>2000680.6824011246</v>
      </c>
      <c r="C5" s="58">
        <f t="shared" ref="C5:C7" si="1">B5*(1+$C$3)</f>
        <v>2070764.5267056357</v>
      </c>
      <c r="D5" s="58">
        <v>2244.4979015760773</v>
      </c>
      <c r="E5" s="65">
        <f>(+C5*D5)/2000</f>
        <v>2323913.3174244892</v>
      </c>
      <c r="F5" s="2" t="s">
        <v>80</v>
      </c>
      <c r="G5" s="94">
        <v>8719333.2153153457</v>
      </c>
      <c r="J5" s="103"/>
    </row>
    <row r="6" spans="1:11">
      <c r="A6" s="57" t="s">
        <v>44</v>
      </c>
      <c r="B6" s="58">
        <f>G6*$J$1</f>
        <v>390852.07476868219</v>
      </c>
      <c r="C6" s="58">
        <f t="shared" si="1"/>
        <v>404543.62294782908</v>
      </c>
      <c r="D6" s="58">
        <v>910.7025276152184</v>
      </c>
      <c r="E6" s="65">
        <f t="shared" ref="E6:E7" si="2">(+C6*D6)/2000</f>
        <v>184209.4499746029</v>
      </c>
      <c r="F6" s="2" t="s">
        <v>81</v>
      </c>
      <c r="G6" s="94">
        <f>1758799-H6</f>
        <v>1703405</v>
      </c>
      <c r="H6" s="55">
        <v>55394</v>
      </c>
      <c r="J6" s="103"/>
    </row>
    <row r="7" spans="1:11">
      <c r="A7" s="57" t="s">
        <v>98</v>
      </c>
      <c r="B7" s="58">
        <f t="shared" si="0"/>
        <v>210319.97253145676</v>
      </c>
      <c r="C7" s="58">
        <f t="shared" si="1"/>
        <v>217687.48116923368</v>
      </c>
      <c r="D7" s="58">
        <v>885.57794069464035</v>
      </c>
      <c r="E7" s="65">
        <f t="shared" si="2"/>
        <v>96389.615644426623</v>
      </c>
      <c r="F7" s="2" t="s">
        <v>81</v>
      </c>
      <c r="G7" s="94">
        <f>1061583-H7</f>
        <v>916613</v>
      </c>
      <c r="H7" s="92">
        <v>144970</v>
      </c>
      <c r="J7" s="103"/>
    </row>
    <row r="8" spans="1:11">
      <c r="A8" s="57" t="s">
        <v>42</v>
      </c>
      <c r="B8" s="58">
        <f>G8*$J$2</f>
        <v>43400.346893579554</v>
      </c>
      <c r="C8" s="58"/>
      <c r="D8" s="58">
        <v>0</v>
      </c>
      <c r="E8" s="65">
        <f t="shared" ref="E8:E40" si="3">(+B8*D8)/2000</f>
        <v>0</v>
      </c>
      <c r="F8" s="2" t="s">
        <v>82</v>
      </c>
      <c r="G8" s="94">
        <v>191917</v>
      </c>
      <c r="J8" s="103"/>
    </row>
    <row r="9" spans="1:11">
      <c r="A9" s="57" t="s">
        <v>43</v>
      </c>
      <c r="B9" s="58">
        <f t="shared" ref="B9:B33" si="4">G9*$J$2</f>
        <v>35206.797762193724</v>
      </c>
      <c r="C9" s="58"/>
      <c r="D9" s="58">
        <v>0</v>
      </c>
      <c r="E9" s="65">
        <f t="shared" si="3"/>
        <v>0</v>
      </c>
      <c r="F9" s="2" t="s">
        <v>82</v>
      </c>
      <c r="G9" s="94">
        <v>155685</v>
      </c>
      <c r="H9" s="72"/>
      <c r="J9" s="103"/>
    </row>
    <row r="10" spans="1:11">
      <c r="A10" s="57" t="s">
        <v>47</v>
      </c>
      <c r="B10" s="58">
        <f t="shared" si="4"/>
        <v>106038.52842524125</v>
      </c>
      <c r="C10" s="58"/>
      <c r="D10" s="58">
        <v>0</v>
      </c>
      <c r="E10" s="65">
        <f t="shared" si="3"/>
        <v>0</v>
      </c>
      <c r="F10" s="2" t="s">
        <v>82</v>
      </c>
      <c r="G10" s="94">
        <v>468904</v>
      </c>
      <c r="H10" s="72"/>
      <c r="J10" s="103"/>
    </row>
    <row r="11" spans="1:11">
      <c r="A11" s="57" t="s">
        <v>53</v>
      </c>
      <c r="B11" s="58">
        <f t="shared" si="4"/>
        <v>518.99412829903065</v>
      </c>
      <c r="C11" s="58"/>
      <c r="D11" s="58">
        <v>0</v>
      </c>
      <c r="E11" s="65">
        <f t="shared" si="3"/>
        <v>0</v>
      </c>
      <c r="F11" s="2" t="s">
        <v>83</v>
      </c>
      <c r="G11" s="94">
        <v>2295</v>
      </c>
      <c r="H11" s="72"/>
      <c r="J11" s="103"/>
    </row>
    <row r="12" spans="1:11">
      <c r="A12" s="57" t="s">
        <v>54</v>
      </c>
      <c r="B12" s="58">
        <f t="shared" si="4"/>
        <v>11169.567749431688</v>
      </c>
      <c r="C12" s="58"/>
      <c r="D12" s="58">
        <v>0</v>
      </c>
      <c r="E12" s="65">
        <f t="shared" si="3"/>
        <v>0</v>
      </c>
      <c r="F12" s="2" t="s">
        <v>83</v>
      </c>
      <c r="G12" s="94">
        <v>49392</v>
      </c>
      <c r="J12" s="103"/>
    </row>
    <row r="13" spans="1:11">
      <c r="A13" s="57" t="s">
        <v>55</v>
      </c>
      <c r="B13" s="58">
        <f t="shared" si="4"/>
        <v>15314.058115155582</v>
      </c>
      <c r="C13" s="58"/>
      <c r="D13" s="58">
        <v>0</v>
      </c>
      <c r="E13" s="65">
        <f t="shared" si="3"/>
        <v>0</v>
      </c>
      <c r="F13" s="2" t="s">
        <v>83</v>
      </c>
      <c r="G13" s="94">
        <v>67719</v>
      </c>
      <c r="J13" s="103"/>
    </row>
    <row r="14" spans="1:11">
      <c r="A14" s="57" t="s">
        <v>56</v>
      </c>
      <c r="B14" s="58">
        <f t="shared" si="4"/>
        <v>24360.385833824916</v>
      </c>
      <c r="C14" s="58"/>
      <c r="D14" s="58">
        <v>0</v>
      </c>
      <c r="E14" s="65">
        <f t="shared" si="3"/>
        <v>0</v>
      </c>
      <c r="F14" s="2" t="s">
        <v>83</v>
      </c>
      <c r="G14" s="94">
        <v>107722</v>
      </c>
      <c r="J14" s="103"/>
    </row>
    <row r="15" spans="1:11">
      <c r="A15" s="57" t="s">
        <v>57</v>
      </c>
      <c r="B15" s="58">
        <f t="shared" si="4"/>
        <v>31273.071025042682</v>
      </c>
      <c r="C15" s="58"/>
      <c r="D15" s="58">
        <v>0</v>
      </c>
      <c r="E15" s="65">
        <f t="shared" si="3"/>
        <v>0</v>
      </c>
      <c r="F15" s="2" t="s">
        <v>83</v>
      </c>
      <c r="G15" s="94">
        <v>138290</v>
      </c>
      <c r="J15" s="103"/>
    </row>
    <row r="16" spans="1:11">
      <c r="A16" s="57" t="s">
        <v>58</v>
      </c>
      <c r="B16" s="58">
        <f t="shared" si="4"/>
        <v>4154.4405799483629</v>
      </c>
      <c r="C16" s="58"/>
      <c r="D16" s="58">
        <v>0</v>
      </c>
      <c r="E16" s="65">
        <f t="shared" si="3"/>
        <v>0</v>
      </c>
      <c r="F16" s="2" t="s">
        <v>83</v>
      </c>
      <c r="G16" s="94">
        <v>18371</v>
      </c>
      <c r="J16" s="103"/>
    </row>
    <row r="17" spans="1:10">
      <c r="A17" s="57" t="s">
        <v>59</v>
      </c>
      <c r="B17" s="58">
        <f t="shared" si="4"/>
        <v>1780.1837812505314</v>
      </c>
      <c r="C17" s="58"/>
      <c r="D17" s="58">
        <v>0</v>
      </c>
      <c r="E17" s="65">
        <f t="shared" si="3"/>
        <v>0</v>
      </c>
      <c r="F17" s="2" t="s">
        <v>83</v>
      </c>
      <c r="G17" s="94">
        <v>7872</v>
      </c>
      <c r="J17" s="103"/>
    </row>
    <row r="18" spans="1:10">
      <c r="A18" s="57" t="s">
        <v>60</v>
      </c>
      <c r="B18" s="58">
        <f t="shared" si="4"/>
        <v>9566.6786943626121</v>
      </c>
      <c r="C18" s="58"/>
      <c r="D18" s="58">
        <v>0</v>
      </c>
      <c r="E18" s="65">
        <f t="shared" si="3"/>
        <v>0</v>
      </c>
      <c r="F18" s="2" t="s">
        <v>83</v>
      </c>
      <c r="G18" s="94">
        <v>42304</v>
      </c>
      <c r="J18" s="103"/>
    </row>
    <row r="19" spans="1:10">
      <c r="A19" s="57" t="s">
        <v>61</v>
      </c>
      <c r="B19" s="58">
        <f t="shared" si="4"/>
        <v>24615.699285175506</v>
      </c>
      <c r="C19" s="58"/>
      <c r="D19" s="58">
        <v>0</v>
      </c>
      <c r="E19" s="65">
        <f t="shared" si="3"/>
        <v>0</v>
      </c>
      <c r="F19" s="2" t="s">
        <v>83</v>
      </c>
      <c r="G19" s="94">
        <v>108851</v>
      </c>
      <c r="J19" s="103"/>
    </row>
    <row r="20" spans="1:10">
      <c r="A20" s="57" t="s">
        <v>62</v>
      </c>
      <c r="B20" s="58">
        <f t="shared" si="4"/>
        <v>72078.447277127081</v>
      </c>
      <c r="C20" s="58"/>
      <c r="D20" s="58">
        <v>0</v>
      </c>
      <c r="E20" s="65">
        <f t="shared" si="3"/>
        <v>0</v>
      </c>
      <c r="F20" s="2" t="s">
        <v>83</v>
      </c>
      <c r="G20" s="94">
        <v>318732</v>
      </c>
      <c r="J20" s="103"/>
    </row>
    <row r="21" spans="1:10">
      <c r="A21" s="57" t="s">
        <v>63</v>
      </c>
      <c r="B21" s="58">
        <f t="shared" si="4"/>
        <v>39557.302790610607</v>
      </c>
      <c r="C21" s="58"/>
      <c r="D21" s="58">
        <v>0</v>
      </c>
      <c r="E21" s="65">
        <f t="shared" si="3"/>
        <v>0</v>
      </c>
      <c r="F21" s="2" t="s">
        <v>83</v>
      </c>
      <c r="G21" s="94">
        <v>174923</v>
      </c>
      <c r="J21" s="103"/>
    </row>
    <row r="22" spans="1:10">
      <c r="A22" s="57" t="s">
        <v>64</v>
      </c>
      <c r="B22" s="58">
        <f t="shared" si="4"/>
        <v>45434.93956125118</v>
      </c>
      <c r="C22" s="58"/>
      <c r="D22" s="58">
        <v>0</v>
      </c>
      <c r="E22" s="65">
        <f t="shared" si="3"/>
        <v>0</v>
      </c>
      <c r="F22" s="2" t="s">
        <v>83</v>
      </c>
      <c r="G22" s="94">
        <v>200914</v>
      </c>
      <c r="J22" s="103"/>
    </row>
    <row r="23" spans="1:10">
      <c r="A23" s="57" t="s">
        <v>65</v>
      </c>
      <c r="B23" s="58">
        <f t="shared" si="4"/>
        <v>142383.72115120722</v>
      </c>
      <c r="C23" s="58"/>
      <c r="D23" s="58">
        <v>0</v>
      </c>
      <c r="E23" s="65">
        <f t="shared" si="3"/>
        <v>0</v>
      </c>
      <c r="F23" s="2" t="s">
        <v>83</v>
      </c>
      <c r="G23" s="94">
        <v>629623</v>
      </c>
      <c r="J23" s="103"/>
    </row>
    <row r="24" spans="1:10">
      <c r="A24" s="57" t="s">
        <v>66</v>
      </c>
      <c r="B24" s="58">
        <f t="shared" si="4"/>
        <v>4772.9368504920876</v>
      </c>
      <c r="C24" s="58"/>
      <c r="D24" s="58">
        <v>0</v>
      </c>
      <c r="E24" s="65">
        <f t="shared" si="3"/>
        <v>0</v>
      </c>
      <c r="F24" s="2" t="s">
        <v>83</v>
      </c>
      <c r="G24" s="94">
        <v>21106</v>
      </c>
      <c r="J24" s="103"/>
    </row>
    <row r="25" spans="1:10">
      <c r="A25" s="57" t="s">
        <v>75</v>
      </c>
      <c r="B25" s="58">
        <f t="shared" si="4"/>
        <v>57938.514440458894</v>
      </c>
      <c r="C25" s="58"/>
      <c r="D25" s="58">
        <v>0</v>
      </c>
      <c r="E25" s="65">
        <f t="shared" si="3"/>
        <v>0</v>
      </c>
      <c r="F25" s="2" t="s">
        <v>83</v>
      </c>
      <c r="G25" s="94">
        <v>256205</v>
      </c>
      <c r="J25" s="103"/>
    </row>
    <row r="26" spans="1:10">
      <c r="A26" s="57" t="s">
        <v>74</v>
      </c>
      <c r="B26" s="58">
        <f t="shared" si="4"/>
        <v>9221.8133149917958</v>
      </c>
      <c r="C26" s="58"/>
      <c r="D26" s="58">
        <v>0</v>
      </c>
      <c r="E26" s="65">
        <f t="shared" si="3"/>
        <v>0</v>
      </c>
      <c r="F26" s="2" t="s">
        <v>83</v>
      </c>
      <c r="G26" s="94">
        <v>40779</v>
      </c>
      <c r="J26" s="103"/>
    </row>
    <row r="27" spans="1:10">
      <c r="A27" s="57" t="s">
        <v>73</v>
      </c>
      <c r="B27" s="58">
        <f t="shared" si="4"/>
        <v>1040.02352768943</v>
      </c>
      <c r="C27" s="58"/>
      <c r="D27" s="58">
        <v>0</v>
      </c>
      <c r="E27" s="65">
        <f t="shared" si="3"/>
        <v>0</v>
      </c>
      <c r="F27" s="2" t="s">
        <v>83</v>
      </c>
      <c r="G27" s="94">
        <v>4599</v>
      </c>
      <c r="J27" s="103"/>
    </row>
    <row r="28" spans="1:10">
      <c r="A28" s="57" t="s">
        <v>72</v>
      </c>
      <c r="B28" s="58">
        <f t="shared" si="4"/>
        <v>17875.785995491711</v>
      </c>
      <c r="C28" s="58"/>
      <c r="D28" s="58">
        <v>0</v>
      </c>
      <c r="E28" s="65">
        <f t="shared" si="3"/>
        <v>0</v>
      </c>
      <c r="F28" s="2" t="s">
        <v>83</v>
      </c>
      <c r="G28" s="94">
        <v>79047</v>
      </c>
      <c r="J28" s="103"/>
    </row>
    <row r="29" spans="1:10">
      <c r="A29" s="57" t="s">
        <v>71</v>
      </c>
      <c r="B29" s="58">
        <f t="shared" si="4"/>
        <v>13653.050763366309</v>
      </c>
      <c r="C29" s="58"/>
      <c r="D29" s="58">
        <v>0</v>
      </c>
      <c r="E29" s="65">
        <f t="shared" si="3"/>
        <v>0</v>
      </c>
      <c r="F29" s="2" t="s">
        <v>83</v>
      </c>
      <c r="G29" s="94">
        <v>60374</v>
      </c>
      <c r="J29" s="103"/>
    </row>
    <row r="30" spans="1:10">
      <c r="A30" s="57" t="s">
        <v>70</v>
      </c>
      <c r="B30" s="58">
        <f>G30*$J$2</f>
        <v>78620.713129715732</v>
      </c>
      <c r="C30" s="58"/>
      <c r="D30" s="58">
        <v>0</v>
      </c>
      <c r="E30" s="65">
        <f t="shared" si="3"/>
        <v>0</v>
      </c>
      <c r="F30" s="2" t="s">
        <v>83</v>
      </c>
      <c r="G30" s="94">
        <f>866809-H30</f>
        <v>347662</v>
      </c>
      <c r="H30">
        <v>519147</v>
      </c>
      <c r="J30" s="103"/>
    </row>
    <row r="31" spans="1:10">
      <c r="A31" s="57" t="s">
        <v>69</v>
      </c>
      <c r="B31" s="58">
        <f t="shared" si="4"/>
        <v>57717.122173964446</v>
      </c>
      <c r="C31" s="58"/>
      <c r="D31" s="58">
        <v>0</v>
      </c>
      <c r="E31" s="65">
        <f t="shared" si="3"/>
        <v>0</v>
      </c>
      <c r="F31" s="2" t="s">
        <v>83</v>
      </c>
      <c r="G31" s="94">
        <v>255226</v>
      </c>
      <c r="J31" s="103"/>
    </row>
    <row r="32" spans="1:10">
      <c r="A32" s="57" t="s">
        <v>68</v>
      </c>
      <c r="B32" s="58">
        <f t="shared" si="4"/>
        <v>1049.7476006815252</v>
      </c>
      <c r="C32" s="58"/>
      <c r="D32" s="58">
        <v>0</v>
      </c>
      <c r="E32" s="65">
        <f t="shared" si="3"/>
        <v>0</v>
      </c>
      <c r="F32" s="2" t="s">
        <v>83</v>
      </c>
      <c r="G32" s="94">
        <v>4642</v>
      </c>
      <c r="J32" s="103"/>
    </row>
    <row r="33" spans="1:10">
      <c r="A33" s="57" t="s">
        <v>67</v>
      </c>
      <c r="B33" s="58">
        <f t="shared" si="4"/>
        <v>89358.803407777246</v>
      </c>
      <c r="C33" s="58"/>
      <c r="D33" s="58">
        <v>0</v>
      </c>
      <c r="E33" s="65">
        <f t="shared" si="3"/>
        <v>0</v>
      </c>
      <c r="F33" s="2" t="s">
        <v>83</v>
      </c>
      <c r="G33" s="94">
        <f>726025-H33</f>
        <v>395146</v>
      </c>
      <c r="H33">
        <v>330879</v>
      </c>
      <c r="J33" s="103"/>
    </row>
    <row r="34" spans="1:10">
      <c r="A34" s="57" t="s">
        <v>79</v>
      </c>
      <c r="B34" s="58">
        <f>G34</f>
        <v>5940.5150000000003</v>
      </c>
      <c r="C34" s="58"/>
      <c r="D34" s="58">
        <v>0</v>
      </c>
      <c r="E34" s="65">
        <f t="shared" si="3"/>
        <v>0</v>
      </c>
      <c r="F34" s="2" t="s">
        <v>83</v>
      </c>
      <c r="G34" s="94">
        <v>5940.5150000000003</v>
      </c>
      <c r="J34" s="103"/>
    </row>
    <row r="35" spans="1:10">
      <c r="A35" s="57" t="s">
        <v>76</v>
      </c>
      <c r="B35" s="58">
        <f>(G35*$J$1*0.7)+(G35*$J$2*0.3)</f>
        <v>54340.294348583979</v>
      </c>
      <c r="C35" s="58"/>
      <c r="D35" s="58">
        <v>0</v>
      </c>
      <c r="E35" s="65">
        <f t="shared" si="3"/>
        <v>0</v>
      </c>
      <c r="F35" s="2" t="s">
        <v>83</v>
      </c>
      <c r="G35" s="94">
        <v>237855</v>
      </c>
      <c r="J35" s="103"/>
    </row>
    <row r="36" spans="1:10">
      <c r="A36" s="57" t="s">
        <v>77</v>
      </c>
      <c r="B36" s="58">
        <f t="shared" ref="B36:B37" si="5">(G36*$J$1*0.7)+(G36*$J$2*0.3)</f>
        <v>10738.293730493337</v>
      </c>
      <c r="C36" s="58"/>
      <c r="D36" s="58">
        <v>0</v>
      </c>
      <c r="E36" s="65">
        <f t="shared" si="3"/>
        <v>0</v>
      </c>
      <c r="F36" s="2" t="s">
        <v>83</v>
      </c>
      <c r="G36" s="94">
        <v>47003</v>
      </c>
      <c r="J36" s="103"/>
    </row>
    <row r="37" spans="1:10">
      <c r="A37" s="57" t="s">
        <v>78</v>
      </c>
      <c r="B37" s="58">
        <f t="shared" si="5"/>
        <v>9947.1376087841163</v>
      </c>
      <c r="C37" s="58"/>
      <c r="D37" s="58">
        <v>0</v>
      </c>
      <c r="E37" s="65">
        <f t="shared" si="3"/>
        <v>0</v>
      </c>
      <c r="F37" s="2" t="s">
        <v>83</v>
      </c>
      <c r="G37" s="94">
        <v>43540</v>
      </c>
      <c r="J37" s="103"/>
    </row>
    <row r="38" spans="1:10">
      <c r="A38" s="57" t="s">
        <v>49</v>
      </c>
      <c r="B38" s="58">
        <f>G38*J2</f>
        <v>21145.812865018495</v>
      </c>
      <c r="C38" s="58"/>
      <c r="D38" s="58">
        <v>0</v>
      </c>
      <c r="E38" s="65">
        <f t="shared" si="3"/>
        <v>0</v>
      </c>
      <c r="F38" s="2" t="s">
        <v>83</v>
      </c>
      <c r="G38" s="94">
        <v>93507.108999999997</v>
      </c>
      <c r="J38" s="103"/>
    </row>
    <row r="39" spans="1:10">
      <c r="A39" s="57" t="s">
        <v>51</v>
      </c>
      <c r="B39" s="58"/>
      <c r="C39" s="58"/>
      <c r="D39" s="58">
        <v>0</v>
      </c>
      <c r="E39" s="65">
        <f t="shared" si="3"/>
        <v>0</v>
      </c>
      <c r="F39" s="2" t="s">
        <v>84</v>
      </c>
      <c r="G39" s="94">
        <v>0</v>
      </c>
      <c r="J39" s="103"/>
    </row>
    <row r="40" spans="1:10" ht="15" thickBot="1">
      <c r="A40" s="57" t="s">
        <v>52</v>
      </c>
      <c r="B40" s="58">
        <f>(G40*J1*79.264%)+(G40*J2*20.736%)</f>
        <v>2511.5343870509714</v>
      </c>
      <c r="C40" s="58"/>
      <c r="D40" s="58">
        <v>0</v>
      </c>
      <c r="E40" s="65">
        <f t="shared" si="3"/>
        <v>0</v>
      </c>
      <c r="F40" s="2" t="s">
        <v>83</v>
      </c>
      <c r="G40" s="95">
        <v>10978.589</v>
      </c>
      <c r="J40" s="103"/>
    </row>
    <row r="41" spans="1:10" ht="15.5" thickTop="1" thickBot="1">
      <c r="B41" s="64">
        <f>SUM(B4:B40)</f>
        <v>3772358.7858982575</v>
      </c>
      <c r="C41" s="58"/>
      <c r="E41" s="64">
        <f>SUM(E4:E40)</f>
        <v>2761600.636964974</v>
      </c>
      <c r="F41"/>
      <c r="G41" s="84">
        <f>SUM(G4:G40)</f>
        <v>16483367.555676391</v>
      </c>
      <c r="H41" s="84">
        <f>SUM(H4:H40)</f>
        <v>1050390</v>
      </c>
      <c r="J41" s="55"/>
    </row>
    <row r="42" spans="1:10">
      <c r="C42" s="58"/>
      <c r="F42"/>
      <c r="G42"/>
      <c r="H42" s="92"/>
    </row>
    <row r="43" spans="1:10">
      <c r="A43" t="s">
        <v>97</v>
      </c>
      <c r="B43" s="93">
        <v>0.22862536070966685</v>
      </c>
      <c r="F43"/>
      <c r="G43"/>
      <c r="H43" s="92"/>
    </row>
    <row r="44" spans="1:10">
      <c r="F44" s="59"/>
      <c r="G44" s="59"/>
    </row>
    <row r="45" spans="1:10">
      <c r="G45" s="59"/>
    </row>
  </sheetData>
  <pageMargins left="0.7" right="0.7" top="0.75" bottom="0.75" header="0.3" footer="0.3"/>
  <pageSetup scale="4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4"/>
  <sheetViews>
    <sheetView zoomScaleNormal="100" workbookViewId="0"/>
  </sheetViews>
  <sheetFormatPr defaultRowHeight="14.5"/>
  <cols>
    <col min="1" max="1" width="46.1796875" customWidth="1"/>
    <col min="2" max="2" width="13.7265625" customWidth="1"/>
    <col min="3" max="3" width="12.54296875" customWidth="1"/>
    <col min="4" max="4" width="13.54296875" customWidth="1"/>
    <col min="5" max="5" width="17.54296875" customWidth="1"/>
    <col min="6" max="6" width="15.26953125" customWidth="1"/>
    <col min="7" max="7" width="11.26953125" bestFit="1" customWidth="1"/>
    <col min="8" max="8" width="9" bestFit="1" customWidth="1"/>
    <col min="9" max="9" width="22" bestFit="1" customWidth="1"/>
    <col min="10" max="10" width="9.7265625" bestFit="1" customWidth="1"/>
    <col min="11" max="11" width="10.1796875" bestFit="1" customWidth="1"/>
    <col min="14" max="14" width="14" bestFit="1" customWidth="1"/>
  </cols>
  <sheetData>
    <row r="1" spans="1:14" ht="18.5">
      <c r="A1" s="1" t="s">
        <v>30</v>
      </c>
      <c r="B1" s="1">
        <v>2017</v>
      </c>
      <c r="D1" s="105" t="s">
        <v>108</v>
      </c>
      <c r="H1" s="106">
        <f>M1*M2</f>
        <v>963.41893999999991</v>
      </c>
      <c r="I1" t="s">
        <v>5</v>
      </c>
      <c r="K1" s="96">
        <v>0.22945340348812068</v>
      </c>
      <c r="L1" s="33" t="s">
        <v>100</v>
      </c>
      <c r="M1">
        <v>0.437</v>
      </c>
      <c r="N1" s="55" t="s">
        <v>109</v>
      </c>
    </row>
    <row r="2" spans="1:14" ht="18.5">
      <c r="A2" s="1"/>
      <c r="B2" s="5" t="s">
        <v>29</v>
      </c>
      <c r="C2" s="5" t="s">
        <v>1</v>
      </c>
      <c r="D2" s="5" t="s">
        <v>4</v>
      </c>
      <c r="E2" s="2"/>
      <c r="F2" s="23" t="s">
        <v>8</v>
      </c>
      <c r="G2" s="22">
        <v>2017</v>
      </c>
      <c r="H2" s="24"/>
      <c r="K2" s="97">
        <v>0.22614123237430531</v>
      </c>
      <c r="L2" s="29" t="s">
        <v>99</v>
      </c>
      <c r="M2">
        <v>2204.62</v>
      </c>
      <c r="N2" s="55" t="s">
        <v>110</v>
      </c>
    </row>
    <row r="3" spans="1:14" ht="44" thickBot="1">
      <c r="A3" s="66" t="s">
        <v>0</v>
      </c>
      <c r="B3" s="67">
        <v>2017</v>
      </c>
      <c r="C3" s="67" t="s">
        <v>91</v>
      </c>
      <c r="D3" s="67" t="s">
        <v>92</v>
      </c>
      <c r="E3" s="68"/>
      <c r="F3" s="104" t="s">
        <v>104</v>
      </c>
      <c r="H3" s="90"/>
      <c r="I3" s="86"/>
      <c r="K3" s="98">
        <v>1</v>
      </c>
      <c r="L3" s="99" t="s">
        <v>101</v>
      </c>
    </row>
    <row r="4" spans="1:14">
      <c r="A4" s="57" t="s">
        <v>88</v>
      </c>
      <c r="B4" s="60">
        <f>F4*$K$2</f>
        <v>2149.4724137177718</v>
      </c>
      <c r="C4" s="71">
        <f>IF(B4&lt;&gt;0,$H$1,0)</f>
        <v>963.41893999999991</v>
      </c>
      <c r="D4" s="70">
        <f>(+B4*C4)/2000</f>
        <v>1035.4212171916085</v>
      </c>
      <c r="E4" s="69"/>
      <c r="F4" s="60">
        <v>9505</v>
      </c>
      <c r="J4" s="55"/>
    </row>
    <row r="5" spans="1:14">
      <c r="A5" s="57" t="s">
        <v>86</v>
      </c>
      <c r="B5" s="60">
        <f t="shared" ref="B5:B8" si="0">F5*$K$2</f>
        <v>2038.2109273896137</v>
      </c>
      <c r="C5" s="71">
        <f t="shared" ref="C5:C16" si="1">IF(B5&lt;&gt;0,$H$1,0)</f>
        <v>963.41893999999991</v>
      </c>
      <c r="D5" s="70">
        <f t="shared" ref="D5:D17" si="2">(+B5*C5)/2000</f>
        <v>981.82550558105925</v>
      </c>
      <c r="E5" s="69"/>
      <c r="F5" s="60">
        <v>9013</v>
      </c>
      <c r="J5" s="55"/>
    </row>
    <row r="6" spans="1:14">
      <c r="A6" s="57" t="s">
        <v>87</v>
      </c>
      <c r="B6" s="60">
        <f t="shared" si="0"/>
        <v>992875.86005846353</v>
      </c>
      <c r="C6" s="71">
        <f t="shared" si="1"/>
        <v>963.41893999999991</v>
      </c>
      <c r="D6" s="70">
        <f t="shared" si="2"/>
        <v>478277.70432455657</v>
      </c>
      <c r="E6" s="69"/>
      <c r="F6" s="60">
        <v>4390512.2901916066</v>
      </c>
      <c r="J6" s="55"/>
    </row>
    <row r="7" spans="1:14">
      <c r="A7" s="57" t="s">
        <v>93</v>
      </c>
      <c r="B7" s="60">
        <f>F7*$K$2</f>
        <v>0</v>
      </c>
      <c r="C7" s="71">
        <f t="shared" si="1"/>
        <v>0</v>
      </c>
      <c r="D7" s="70">
        <f t="shared" si="2"/>
        <v>0</v>
      </c>
      <c r="E7" s="69"/>
      <c r="F7" s="60">
        <v>0</v>
      </c>
      <c r="H7" s="86"/>
      <c r="J7" s="55"/>
      <c r="N7" s="55"/>
    </row>
    <row r="8" spans="1:14">
      <c r="A8" s="57" t="s">
        <v>89</v>
      </c>
      <c r="B8" s="60">
        <f t="shared" si="0"/>
        <v>14058.295851781064</v>
      </c>
      <c r="C8" s="71">
        <f t="shared" si="1"/>
        <v>963.41893999999991</v>
      </c>
      <c r="D8" s="70">
        <f t="shared" si="2"/>
        <v>6772.0142438646544</v>
      </c>
      <c r="E8" s="69"/>
      <c r="F8" s="60">
        <v>62166</v>
      </c>
      <c r="J8" s="55"/>
      <c r="N8" s="55"/>
    </row>
    <row r="9" spans="1:14">
      <c r="A9" s="57" t="s">
        <v>94</v>
      </c>
      <c r="B9" s="60">
        <f>F9*$K$2</f>
        <v>53893.900706860528</v>
      </c>
      <c r="C9" s="71">
        <f t="shared" si="1"/>
        <v>963.41893999999991</v>
      </c>
      <c r="D9" s="70">
        <f t="shared" si="2"/>
        <v>25961.202345734408</v>
      </c>
      <c r="E9" s="69"/>
      <c r="F9" s="60">
        <v>238319.6560000001</v>
      </c>
      <c r="J9" s="55"/>
      <c r="N9" s="55"/>
    </row>
    <row r="10" spans="1:14">
      <c r="A10" s="57" t="s">
        <v>50</v>
      </c>
      <c r="B10" s="60">
        <f>(F10*K1*0.7)+(F10*K2*0.3)</f>
        <v>12727.0358729937</v>
      </c>
      <c r="C10" s="71">
        <f t="shared" si="1"/>
        <v>963.41893999999991</v>
      </c>
      <c r="D10" s="70">
        <f t="shared" si="2"/>
        <v>6130.7337050507813</v>
      </c>
      <c r="E10" s="69"/>
      <c r="F10" s="60">
        <v>55708</v>
      </c>
      <c r="J10" s="55"/>
      <c r="N10" s="92"/>
    </row>
    <row r="11" spans="1:14">
      <c r="A11" s="57" t="s">
        <v>48</v>
      </c>
      <c r="B11" s="60">
        <f>F11*$K$2</f>
        <v>-397389.06434447842</v>
      </c>
      <c r="C11" s="71">
        <f t="shared" si="1"/>
        <v>963.41893999999991</v>
      </c>
      <c r="D11" s="70">
        <f t="shared" si="2"/>
        <v>-191426.0755691746</v>
      </c>
      <c r="E11" s="69"/>
      <c r="F11" s="60">
        <v>-1757260.541</v>
      </c>
      <c r="J11" s="55"/>
      <c r="N11" s="55"/>
    </row>
    <row r="12" spans="1:14">
      <c r="A12" s="57" t="s">
        <v>85</v>
      </c>
      <c r="B12" s="60"/>
      <c r="C12" s="71">
        <f t="shared" si="1"/>
        <v>0</v>
      </c>
      <c r="D12" s="70">
        <f t="shared" si="2"/>
        <v>0</v>
      </c>
      <c r="E12" s="69"/>
      <c r="F12" s="60">
        <v>0</v>
      </c>
    </row>
    <row r="13" spans="1:14">
      <c r="A13" s="57" t="s">
        <v>103</v>
      </c>
      <c r="B13" s="60">
        <f>F13*K2</f>
        <v>90390.382821849838</v>
      </c>
      <c r="C13" s="71">
        <f t="shared" si="1"/>
        <v>963.41893999999991</v>
      </c>
      <c r="D13" s="70">
        <f t="shared" si="2"/>
        <v>43541.903402210388</v>
      </c>
      <c r="E13" s="69"/>
      <c r="F13" s="60">
        <v>399707.66000000009</v>
      </c>
      <c r="J13" s="55"/>
      <c r="N13" s="100"/>
    </row>
    <row r="14" spans="1:14">
      <c r="A14" s="57" t="s">
        <v>90</v>
      </c>
      <c r="B14" s="60">
        <f>F14*$K$2</f>
        <v>-15274.349071598048</v>
      </c>
      <c r="C14" s="71">
        <f t="shared" si="1"/>
        <v>963.41893999999991</v>
      </c>
      <c r="D14" s="70">
        <f t="shared" si="2"/>
        <v>-7357.7985958744875</v>
      </c>
      <c r="E14" s="69"/>
      <c r="F14" s="60">
        <v>-67543.406000000003</v>
      </c>
      <c r="J14" s="55"/>
    </row>
    <row r="15" spans="1:14">
      <c r="A15" s="57" t="s">
        <v>106</v>
      </c>
      <c r="B15" s="60">
        <f t="shared" ref="B15:B16" si="3">F15*$K$2</f>
        <v>163013.40890405161</v>
      </c>
      <c r="C15" s="71">
        <f t="shared" si="1"/>
        <v>963.41893999999991</v>
      </c>
      <c r="D15" s="70">
        <f t="shared" si="2"/>
        <v>78525.10280606398</v>
      </c>
      <c r="F15" s="60">
        <v>720847.79583333328</v>
      </c>
      <c r="G15" s="55"/>
      <c r="H15" s="55"/>
      <c r="J15" s="55"/>
      <c r="N15" s="86"/>
    </row>
    <row r="16" spans="1:14">
      <c r="A16" s="57" t="s">
        <v>107</v>
      </c>
      <c r="B16" s="60">
        <f t="shared" si="3"/>
        <v>-102608.51413416059</v>
      </c>
      <c r="C16" s="71">
        <f t="shared" si="1"/>
        <v>963.41893999999991</v>
      </c>
      <c r="D16" s="70">
        <f t="shared" si="2"/>
        <v>-49427.492961054006</v>
      </c>
      <c r="F16" s="60">
        <v>-453736.42416666698</v>
      </c>
      <c r="G16" s="55"/>
      <c r="J16" s="55"/>
    </row>
    <row r="17" spans="1:10" ht="15" thickBot="1">
      <c r="A17" s="20"/>
      <c r="B17" s="60">
        <f t="shared" ref="B17" si="4">F17*$K$2</f>
        <v>0</v>
      </c>
      <c r="C17" s="61">
        <v>0</v>
      </c>
      <c r="D17" s="70">
        <f t="shared" si="2"/>
        <v>0</v>
      </c>
      <c r="F17" s="85"/>
    </row>
    <row r="18" spans="1:10" ht="15.5" thickTop="1" thickBot="1">
      <c r="A18" s="56"/>
      <c r="B18" s="62">
        <f>SUM(B4:B17)</f>
        <v>815874.64000687073</v>
      </c>
      <c r="C18" s="63"/>
      <c r="D18" s="64">
        <f>SUM(D4:D17)</f>
        <v>393014.54042415024</v>
      </c>
      <c r="F18" s="64">
        <f>SUM(F4:F17)</f>
        <v>3607239.0308582736</v>
      </c>
      <c r="J18" s="102"/>
    </row>
    <row r="20" spans="1:10">
      <c r="A20" t="s">
        <v>97</v>
      </c>
      <c r="B20" s="93">
        <f>'Known Resources'!B43</f>
        <v>0.22862536070966685</v>
      </c>
      <c r="F20" s="86"/>
    </row>
    <row r="21" spans="1:10">
      <c r="D21" s="91">
        <f>D18/'Summary 2017'!E15</f>
        <v>8.5255302020268472E-2</v>
      </c>
      <c r="F21" s="86"/>
    </row>
    <row r="22" spans="1:10">
      <c r="B22" s="88"/>
      <c r="F22" s="100"/>
    </row>
    <row r="23" spans="1:10">
      <c r="F23" s="86"/>
    </row>
    <row r="24" spans="1:10">
      <c r="A24" t="s">
        <v>95</v>
      </c>
    </row>
  </sheetData>
  <pageMargins left="0.7" right="0.7" top="0.75" bottom="0.75" header="0.3" footer="0.3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0CC507776B9C4697021EA0E258AB02" ma:contentTypeVersion="16" ma:contentTypeDescription="" ma:contentTypeScope="" ma:versionID="489fe484080392562d233d5329bb34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2024-05-28T07:00:00+00:00</OpenedDate>
    <SignificantOrder xmlns="dc463f71-b30c-4ab2-9473-d307f9d35888">false</SignificantOrder>
    <Date1 xmlns="dc463f71-b30c-4ab2-9473-d307f9d35888">2024-05-28T07:00:00+00:00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16DA9DA-274D-47B6-95AF-385B24A9CAF5}"/>
</file>

<file path=customXml/itemProps2.xml><?xml version="1.0" encoding="utf-8"?>
<ds:datastoreItem xmlns:ds="http://schemas.openxmlformats.org/officeDocument/2006/customXml" ds:itemID="{C9E7B492-86FD-441A-8998-404020E85E64}"/>
</file>

<file path=customXml/itemProps3.xml><?xml version="1.0" encoding="utf-8"?>
<ds:datastoreItem xmlns:ds="http://schemas.openxmlformats.org/officeDocument/2006/customXml" ds:itemID="{796D2F8F-BCC1-48FB-AD20-4A0E9F0589B5}"/>
</file>

<file path=customXml/itemProps4.xml><?xml version="1.0" encoding="utf-8"?>
<ds:datastoreItem xmlns:ds="http://schemas.openxmlformats.org/officeDocument/2006/customXml" ds:itemID="{9F0264F8-F4F8-4605-B39D-9CBD95373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2017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Ikeda, Teri (PacifiCorp)</cp:lastModifiedBy>
  <dcterms:created xsi:type="dcterms:W3CDTF">2016-02-08T23:38:12Z</dcterms:created>
  <dcterms:modified xsi:type="dcterms:W3CDTF">2024-05-21T01:01:46Z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0x0101006E56B4D1795A2E4DB2F0B01679ED314A00240CC507776B9C4697021EA0E258AB02</vt:lpwstr>
  </property>
  <property fmtid="{D5CDD505-2E9C-101B-9397-08002B2CF9AE}" pid="3" name="_docset_NoMedatataSyncRequired">
    <vt:lpwstr>False</vt:lpwstr>
  </property>
</Properties>
</file>