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57CC1A85-B1D4-4D48-967C-19E6F79B54E3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WA Sch 25" sheetId="7" r:id="rId1"/>
    <sheet name="WA Electric" sheetId="1" r:id="rId2"/>
  </sheets>
  <externalReferences>
    <externalReference r:id="rId3"/>
    <externalReference r:id="rId4"/>
    <externalReference r:id="rId5"/>
  </externalReferences>
  <definedNames>
    <definedName name="Base1_Billing2">'[1]Pres &amp; Prop Rev'!$N$8</definedName>
    <definedName name="ERM">'[1]Rate Design'!$D$45</definedName>
    <definedName name="Hrs_Darkness">#REF!</definedName>
    <definedName name="ine">#REF!</definedName>
    <definedName name="LoadShape">'[2]Load Shape'!$E$3:$N$2018</definedName>
    <definedName name="Loss_Prim">[2]Losses!$H$44</definedName>
    <definedName name="Loss_Sec">[2]Losses!$H$43</definedName>
    <definedName name="Loss_Transm">[2]Losses!$H$45</definedName>
    <definedName name="M.WkDy.H">'[2]Load Shape'!$D$3:$D$2018</definedName>
    <definedName name="_xlnm.Print_Area" localSheetId="1">'WA Electric'!$A$1:$P$148,'WA Electric'!$R$1:$AH$102</definedName>
    <definedName name="_xlnm.Print_Area" localSheetId="0">'WA Sch 25'!$A$1:$T$113</definedName>
    <definedName name="_xlnm.Print_Titles" localSheetId="1">'WA Electric'!$A:$B,'WA Electric'!$2:$2</definedName>
    <definedName name="Recover">[3]Macro1!$A$162</definedName>
    <definedName name="Sch25_Annual_excess_kva" localSheetId="0">'WA Sch 25'!$R$69:$R$93</definedName>
    <definedName name="Sch25_Annual_excess_kva">#REF!</definedName>
    <definedName name="Sch25_Annual_kva" localSheetId="0">'WA Sch 25'!$R$42:$R$66</definedName>
    <definedName name="Sch25_Annual_kva">#REF!</definedName>
    <definedName name="Sch25_Annual_kW" localSheetId="0">'WA Sch 25'!$R$69:$R$93</definedName>
    <definedName name="Sch25_Annual_kW">#REF!</definedName>
    <definedName name="Sch25_Annual_kWh" localSheetId="0">'WA Sch 25'!$R$4:$R$38</definedName>
    <definedName name="Sch25_Annual_kWh">#REF!</definedName>
    <definedName name="Sch25_kWh" localSheetId="0">'WA Sch 25'!$F$4:$Q$38</definedName>
    <definedName name="Sch25_kWh">#REF!</definedName>
    <definedName name="Sch25_n" localSheetId="0">'WA Sch 25'!$A$4:$A$38</definedName>
    <definedName name="Sch25_n">#REF!</definedName>
    <definedName name="Sch25_nD" localSheetId="0">'WA Sch 25'!$A$69:$A$93</definedName>
    <definedName name="Sch25_nD">#REF!</definedName>
    <definedName name="SL_RateIncr">'[1]St Lts'!$AD$1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91" i="1" l="1"/>
  <c r="S91" i="1" l="1"/>
  <c r="AF93" i="1"/>
  <c r="F34" i="7" l="1"/>
  <c r="F33" i="7"/>
  <c r="G34" i="7" s="1"/>
  <c r="G33" i="7" s="1"/>
  <c r="H34" i="7" s="1"/>
  <c r="H33" i="7" s="1"/>
  <c r="I34" i="7" s="1"/>
  <c r="I33" i="7" s="1"/>
  <c r="J34" i="7" s="1"/>
  <c r="J33" i="7" s="1"/>
  <c r="K34" i="7" s="1"/>
  <c r="Q4" i="1" l="1"/>
  <c r="AB94" i="1" l="1"/>
  <c r="F129" i="7" l="1"/>
  <c r="L64" i="7" l="1"/>
  <c r="K64" i="7"/>
  <c r="I64" i="7"/>
  <c r="I54" i="7"/>
  <c r="I52" i="7"/>
  <c r="R29" i="7"/>
  <c r="H18" i="7"/>
  <c r="L26" i="7"/>
  <c r="K26" i="7"/>
  <c r="I26" i="7"/>
  <c r="I16" i="7"/>
  <c r="I14" i="7"/>
  <c r="S4" i="1" l="1"/>
  <c r="F65" i="7" l="1"/>
  <c r="F68" i="7"/>
  <c r="F69" i="7"/>
  <c r="F70" i="7"/>
  <c r="F71" i="7"/>
  <c r="F72" i="7"/>
  <c r="G32" i="7"/>
  <c r="H32" i="7"/>
  <c r="I32" i="7"/>
  <c r="J32" i="7"/>
  <c r="K32" i="7"/>
  <c r="L32" i="7"/>
  <c r="M32" i="7"/>
  <c r="N32" i="7"/>
  <c r="O32" i="7"/>
  <c r="P32" i="7"/>
  <c r="Q32" i="7"/>
  <c r="F32" i="7"/>
  <c r="F27" i="7" l="1"/>
  <c r="F37" i="7" l="1"/>
  <c r="F38" i="7" s="1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S63" i="7"/>
  <c r="S64" i="7"/>
  <c r="R63" i="7"/>
  <c r="R64" i="7"/>
  <c r="G65" i="7"/>
  <c r="G129" i="7" s="1"/>
  <c r="H65" i="7"/>
  <c r="H129" i="7" s="1"/>
  <c r="I65" i="7"/>
  <c r="I129" i="7" s="1"/>
  <c r="J65" i="7"/>
  <c r="J129" i="7" s="1"/>
  <c r="K65" i="7"/>
  <c r="K129" i="7" s="1"/>
  <c r="L65" i="7"/>
  <c r="L129" i="7" s="1"/>
  <c r="M65" i="7"/>
  <c r="M129" i="7" s="1"/>
  <c r="N65" i="7"/>
  <c r="N129" i="7" s="1"/>
  <c r="O65" i="7"/>
  <c r="O129" i="7" s="1"/>
  <c r="P65" i="7"/>
  <c r="P129" i="7" s="1"/>
  <c r="Q65" i="7"/>
  <c r="Q129" i="7" s="1"/>
  <c r="B63" i="7"/>
  <c r="C63" i="7"/>
  <c r="D63" i="7"/>
  <c r="B64" i="7"/>
  <c r="C64" i="7"/>
  <c r="D64" i="7"/>
  <c r="S25" i="7"/>
  <c r="T25" i="7" s="1"/>
  <c r="S26" i="7"/>
  <c r="T26" i="7" s="1"/>
  <c r="G27" i="7"/>
  <c r="H27" i="7"/>
  <c r="I27" i="7"/>
  <c r="J27" i="7"/>
  <c r="K27" i="7"/>
  <c r="K33" i="7" s="1"/>
  <c r="L34" i="7" s="1"/>
  <c r="L27" i="7"/>
  <c r="M27" i="7"/>
  <c r="N27" i="7"/>
  <c r="O27" i="7"/>
  <c r="P27" i="7"/>
  <c r="Q27" i="7"/>
  <c r="R26" i="7"/>
  <c r="R25" i="7"/>
  <c r="G126" i="7"/>
  <c r="H126" i="7"/>
  <c r="I126" i="7"/>
  <c r="J126" i="7"/>
  <c r="K126" i="7"/>
  <c r="L126" i="7"/>
  <c r="M126" i="7"/>
  <c r="N126" i="7"/>
  <c r="O126" i="7"/>
  <c r="P126" i="7"/>
  <c r="Q126" i="7"/>
  <c r="F126" i="7"/>
  <c r="L33" i="7" l="1"/>
  <c r="M34" i="7" s="1"/>
  <c r="M33" i="7" s="1"/>
  <c r="N34" i="7" s="1"/>
  <c r="N33" i="7" s="1"/>
  <c r="O34" i="7" s="1"/>
  <c r="O33" i="7" s="1"/>
  <c r="P34" i="7" s="1"/>
  <c r="P33" i="7" s="1"/>
  <c r="Q34" i="7" s="1"/>
  <c r="Q33" i="7" s="1"/>
  <c r="R91" i="7"/>
  <c r="R90" i="7"/>
  <c r="U26" i="7"/>
  <c r="U25" i="7"/>
  <c r="G37" i="7" l="1"/>
  <c r="H37" i="7" l="1"/>
  <c r="I37" i="7" l="1"/>
  <c r="J37" i="7" l="1"/>
  <c r="K37" i="7" l="1"/>
  <c r="L37" i="7" l="1"/>
  <c r="M37" i="7" l="1"/>
  <c r="N37" i="7" l="1"/>
  <c r="O37" i="7" l="1"/>
  <c r="P37" i="7" l="1"/>
  <c r="Q37" i="7"/>
  <c r="E33" i="1" l="1"/>
  <c r="F33" i="1"/>
  <c r="G33" i="1"/>
  <c r="H33" i="1"/>
  <c r="I33" i="1"/>
  <c r="J33" i="1"/>
  <c r="K33" i="1"/>
  <c r="L33" i="1"/>
  <c r="M33" i="1"/>
  <c r="N33" i="1"/>
  <c r="O33" i="1"/>
  <c r="E34" i="1"/>
  <c r="F34" i="1"/>
  <c r="G34" i="1"/>
  <c r="H34" i="1"/>
  <c r="I34" i="1"/>
  <c r="J34" i="1"/>
  <c r="K34" i="1"/>
  <c r="L34" i="1"/>
  <c r="M34" i="1"/>
  <c r="N34" i="1"/>
  <c r="O34" i="1"/>
  <c r="D34" i="1"/>
  <c r="D33" i="1"/>
  <c r="Q131" i="7"/>
  <c r="O40" i="1" s="1"/>
  <c r="P131" i="7"/>
  <c r="N40" i="1" s="1"/>
  <c r="O131" i="7"/>
  <c r="M40" i="1" s="1"/>
  <c r="N131" i="7"/>
  <c r="L40" i="1" s="1"/>
  <c r="M131" i="7"/>
  <c r="K40" i="1" s="1"/>
  <c r="L131" i="7"/>
  <c r="J40" i="1" s="1"/>
  <c r="K131" i="7"/>
  <c r="I40" i="1" s="1"/>
  <c r="J131" i="7"/>
  <c r="H40" i="1" s="1"/>
  <c r="I131" i="7"/>
  <c r="G40" i="1" s="1"/>
  <c r="H131" i="7"/>
  <c r="F40" i="1" s="1"/>
  <c r="G131" i="7"/>
  <c r="E40" i="1" s="1"/>
  <c r="F131" i="7"/>
  <c r="Q130" i="7"/>
  <c r="O39" i="1" s="1"/>
  <c r="P130" i="7"/>
  <c r="N39" i="1" s="1"/>
  <c r="O130" i="7"/>
  <c r="M39" i="1" s="1"/>
  <c r="N130" i="7"/>
  <c r="L39" i="1" s="1"/>
  <c r="M130" i="7"/>
  <c r="K39" i="1" s="1"/>
  <c r="L130" i="7"/>
  <c r="J39" i="1" s="1"/>
  <c r="K130" i="7"/>
  <c r="I39" i="1" s="1"/>
  <c r="J130" i="7"/>
  <c r="H39" i="1" s="1"/>
  <c r="I130" i="7"/>
  <c r="G39" i="1" s="1"/>
  <c r="H130" i="7"/>
  <c r="F39" i="1" s="1"/>
  <c r="G130" i="7"/>
  <c r="E39" i="1" s="1"/>
  <c r="F130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B123" i="7"/>
  <c r="Q122" i="7"/>
  <c r="P122" i="7"/>
  <c r="P124" i="7" s="1"/>
  <c r="N36" i="1" s="1"/>
  <c r="O122" i="7"/>
  <c r="N122" i="7"/>
  <c r="M122" i="7"/>
  <c r="L122" i="7"/>
  <c r="K122" i="7"/>
  <c r="J122" i="7"/>
  <c r="I122" i="7"/>
  <c r="H122" i="7"/>
  <c r="H124" i="7" s="1"/>
  <c r="F36" i="1" s="1"/>
  <c r="G122" i="7"/>
  <c r="F122" i="7"/>
  <c r="B122" i="7"/>
  <c r="R120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6" i="7"/>
  <c r="N116" i="7" s="1"/>
  <c r="Q112" i="7"/>
  <c r="P112" i="7"/>
  <c r="O112" i="7"/>
  <c r="N112" i="7"/>
  <c r="M112" i="7"/>
  <c r="L112" i="7"/>
  <c r="K112" i="7"/>
  <c r="J112" i="7"/>
  <c r="I112" i="7"/>
  <c r="R109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R105" i="7"/>
  <c r="R104" i="7"/>
  <c r="R103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R99" i="7"/>
  <c r="R98" i="7"/>
  <c r="R97" i="7"/>
  <c r="F96" i="7"/>
  <c r="R95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Q77" i="7"/>
  <c r="Q111" i="7" s="1"/>
  <c r="P77" i="7"/>
  <c r="P111" i="7" s="1"/>
  <c r="O77" i="7"/>
  <c r="O111" i="7" s="1"/>
  <c r="N77" i="7"/>
  <c r="N111" i="7" s="1"/>
  <c r="M77" i="7"/>
  <c r="M111" i="7" s="1"/>
  <c r="L77" i="7"/>
  <c r="L111" i="7" s="1"/>
  <c r="K77" i="7"/>
  <c r="K111" i="7" s="1"/>
  <c r="J77" i="7"/>
  <c r="J111" i="7" s="1"/>
  <c r="I77" i="7"/>
  <c r="I111" i="7" s="1"/>
  <c r="H77" i="7"/>
  <c r="H111" i="7" s="1"/>
  <c r="G77" i="7"/>
  <c r="G111" i="7" s="1"/>
  <c r="F77" i="7"/>
  <c r="F111" i="7" s="1"/>
  <c r="E77" i="7"/>
  <c r="D77" i="7"/>
  <c r="C77" i="7"/>
  <c r="B77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Q72" i="7"/>
  <c r="P72" i="7"/>
  <c r="O72" i="7"/>
  <c r="N72" i="7"/>
  <c r="M72" i="7"/>
  <c r="L72" i="7"/>
  <c r="K72" i="7"/>
  <c r="J72" i="7"/>
  <c r="I72" i="7"/>
  <c r="H72" i="7"/>
  <c r="G72" i="7"/>
  <c r="E72" i="7"/>
  <c r="D72" i="7"/>
  <c r="C72" i="7"/>
  <c r="B72" i="7"/>
  <c r="Q71" i="7"/>
  <c r="P71" i="7"/>
  <c r="O71" i="7"/>
  <c r="N71" i="7"/>
  <c r="M71" i="7"/>
  <c r="L71" i="7"/>
  <c r="K71" i="7"/>
  <c r="J71" i="7"/>
  <c r="I71" i="7"/>
  <c r="H71" i="7"/>
  <c r="G71" i="7"/>
  <c r="E71" i="7"/>
  <c r="D71" i="7"/>
  <c r="C71" i="7"/>
  <c r="B71" i="7"/>
  <c r="Q70" i="7"/>
  <c r="P70" i="7"/>
  <c r="O70" i="7"/>
  <c r="N70" i="7"/>
  <c r="M70" i="7"/>
  <c r="L70" i="7"/>
  <c r="K70" i="7"/>
  <c r="J70" i="7"/>
  <c r="I70" i="7"/>
  <c r="H70" i="7"/>
  <c r="G70" i="7"/>
  <c r="E70" i="7"/>
  <c r="D70" i="7"/>
  <c r="C70" i="7"/>
  <c r="B70" i="7"/>
  <c r="Q69" i="7"/>
  <c r="P69" i="7"/>
  <c r="O69" i="7"/>
  <c r="N69" i="7"/>
  <c r="M69" i="7"/>
  <c r="L69" i="7"/>
  <c r="K69" i="7"/>
  <c r="J69" i="7"/>
  <c r="I69" i="7"/>
  <c r="H69" i="7"/>
  <c r="G69" i="7"/>
  <c r="E69" i="7"/>
  <c r="D69" i="7"/>
  <c r="C69" i="7"/>
  <c r="B69" i="7"/>
  <c r="R67" i="7"/>
  <c r="Q115" i="7"/>
  <c r="N38" i="1"/>
  <c r="M38" i="1"/>
  <c r="M115" i="7"/>
  <c r="J38" i="1"/>
  <c r="I38" i="1"/>
  <c r="G38" i="1"/>
  <c r="F38" i="1"/>
  <c r="E38" i="1"/>
  <c r="S62" i="7"/>
  <c r="R62" i="7"/>
  <c r="D62" i="7"/>
  <c r="C62" i="7"/>
  <c r="B62" i="7"/>
  <c r="S61" i="7"/>
  <c r="R61" i="7"/>
  <c r="D61" i="7"/>
  <c r="C61" i="7"/>
  <c r="B61" i="7"/>
  <c r="S60" i="7"/>
  <c r="R60" i="7"/>
  <c r="D60" i="7"/>
  <c r="C60" i="7"/>
  <c r="B60" i="7"/>
  <c r="S59" i="7"/>
  <c r="R59" i="7"/>
  <c r="D59" i="7"/>
  <c r="C59" i="7"/>
  <c r="B59" i="7"/>
  <c r="S58" i="7"/>
  <c r="R58" i="7"/>
  <c r="D58" i="7"/>
  <c r="C58" i="7"/>
  <c r="B58" i="7"/>
  <c r="S57" i="7"/>
  <c r="R57" i="7"/>
  <c r="D57" i="7"/>
  <c r="C57" i="7"/>
  <c r="B57" i="7"/>
  <c r="S56" i="7"/>
  <c r="R56" i="7"/>
  <c r="D56" i="7"/>
  <c r="C56" i="7"/>
  <c r="B56" i="7"/>
  <c r="S55" i="7"/>
  <c r="R55" i="7"/>
  <c r="D55" i="7"/>
  <c r="C55" i="7"/>
  <c r="B55" i="7"/>
  <c r="S54" i="7"/>
  <c r="R54" i="7"/>
  <c r="D54" i="7"/>
  <c r="C54" i="7"/>
  <c r="B54" i="7"/>
  <c r="S53" i="7"/>
  <c r="R53" i="7"/>
  <c r="D53" i="7"/>
  <c r="C53" i="7"/>
  <c r="B53" i="7"/>
  <c r="S52" i="7"/>
  <c r="R52" i="7"/>
  <c r="D52" i="7"/>
  <c r="C52" i="7"/>
  <c r="B52" i="7"/>
  <c r="S51" i="7"/>
  <c r="R51" i="7"/>
  <c r="D51" i="7"/>
  <c r="C51" i="7"/>
  <c r="B51" i="7"/>
  <c r="S50" i="7"/>
  <c r="R50" i="7"/>
  <c r="D50" i="7"/>
  <c r="C50" i="7"/>
  <c r="B50" i="7"/>
  <c r="S49" i="7"/>
  <c r="R49" i="7"/>
  <c r="D49" i="7"/>
  <c r="C49" i="7"/>
  <c r="B49" i="7"/>
  <c r="S48" i="7"/>
  <c r="R48" i="7"/>
  <c r="D48" i="7"/>
  <c r="C48" i="7"/>
  <c r="B48" i="7"/>
  <c r="S47" i="7"/>
  <c r="R47" i="7"/>
  <c r="D47" i="7"/>
  <c r="C47" i="7"/>
  <c r="B47" i="7"/>
  <c r="S46" i="7"/>
  <c r="R46" i="7"/>
  <c r="D46" i="7"/>
  <c r="C46" i="7"/>
  <c r="B46" i="7"/>
  <c r="S45" i="7"/>
  <c r="R45" i="7"/>
  <c r="D45" i="7"/>
  <c r="C45" i="7"/>
  <c r="B45" i="7"/>
  <c r="S44" i="7"/>
  <c r="R44" i="7"/>
  <c r="D44" i="7"/>
  <c r="C44" i="7"/>
  <c r="B44" i="7"/>
  <c r="S43" i="7"/>
  <c r="R43" i="7"/>
  <c r="D43" i="7"/>
  <c r="C43" i="7"/>
  <c r="B43" i="7"/>
  <c r="S42" i="7"/>
  <c r="R42" i="7"/>
  <c r="D42" i="7"/>
  <c r="C42" i="7"/>
  <c r="B42" i="7"/>
  <c r="F41" i="7"/>
  <c r="R33" i="7"/>
  <c r="R31" i="7"/>
  <c r="Q127" i="7"/>
  <c r="P127" i="7"/>
  <c r="P125" i="7" s="1"/>
  <c r="N35" i="1" s="1"/>
  <c r="O127" i="7"/>
  <c r="N127" i="7"/>
  <c r="M127" i="7"/>
  <c r="L127" i="7"/>
  <c r="K127" i="7"/>
  <c r="J127" i="7"/>
  <c r="I127" i="7"/>
  <c r="H127" i="7"/>
  <c r="H125" i="7" s="1"/>
  <c r="F35" i="1" s="1"/>
  <c r="G127" i="7"/>
  <c r="F127" i="7"/>
  <c r="S24" i="7"/>
  <c r="T24" i="7" s="1"/>
  <c r="U24" i="7" s="1"/>
  <c r="R24" i="7"/>
  <c r="S23" i="7"/>
  <c r="T23" i="7" s="1"/>
  <c r="U23" i="7" s="1"/>
  <c r="R23" i="7"/>
  <c r="S22" i="7"/>
  <c r="T22" i="7" s="1"/>
  <c r="U22" i="7" s="1"/>
  <c r="R22" i="7"/>
  <c r="S21" i="7"/>
  <c r="T21" i="7" s="1"/>
  <c r="U21" i="7" s="1"/>
  <c r="R21" i="7"/>
  <c r="S20" i="7"/>
  <c r="T20" i="7" s="1"/>
  <c r="U20" i="7" s="1"/>
  <c r="R20" i="7"/>
  <c r="S19" i="7"/>
  <c r="T19" i="7" s="1"/>
  <c r="U19" i="7" s="1"/>
  <c r="R19" i="7"/>
  <c r="S18" i="7"/>
  <c r="T18" i="7" s="1"/>
  <c r="U18" i="7" s="1"/>
  <c r="R18" i="7"/>
  <c r="S17" i="7"/>
  <c r="T17" i="7" s="1"/>
  <c r="U17" i="7" s="1"/>
  <c r="R17" i="7"/>
  <c r="S16" i="7"/>
  <c r="T16" i="7" s="1"/>
  <c r="U16" i="7" s="1"/>
  <c r="R16" i="7"/>
  <c r="S15" i="7"/>
  <c r="T15" i="7" s="1"/>
  <c r="U15" i="7" s="1"/>
  <c r="R15" i="7"/>
  <c r="S14" i="7"/>
  <c r="T14" i="7" s="1"/>
  <c r="U14" i="7" s="1"/>
  <c r="R14" i="7"/>
  <c r="S13" i="7"/>
  <c r="T13" i="7" s="1"/>
  <c r="U13" i="7" s="1"/>
  <c r="R13" i="7"/>
  <c r="S12" i="7"/>
  <c r="T12" i="7" s="1"/>
  <c r="U12" i="7" s="1"/>
  <c r="R12" i="7"/>
  <c r="S11" i="7"/>
  <c r="T11" i="7" s="1"/>
  <c r="U11" i="7" s="1"/>
  <c r="R11" i="7"/>
  <c r="S10" i="7"/>
  <c r="T10" i="7" s="1"/>
  <c r="U10" i="7" s="1"/>
  <c r="R10" i="7"/>
  <c r="S9" i="7"/>
  <c r="T9" i="7" s="1"/>
  <c r="U9" i="7" s="1"/>
  <c r="R9" i="7"/>
  <c r="S8" i="7"/>
  <c r="T8" i="7" s="1"/>
  <c r="U8" i="7" s="1"/>
  <c r="R8" i="7"/>
  <c r="S7" i="7"/>
  <c r="T7" i="7" s="1"/>
  <c r="U7" i="7" s="1"/>
  <c r="R7" i="7"/>
  <c r="S6" i="7"/>
  <c r="T6" i="7" s="1"/>
  <c r="U6" i="7" s="1"/>
  <c r="R6" i="7"/>
  <c r="S5" i="7"/>
  <c r="T5" i="7" s="1"/>
  <c r="U5" i="7" s="1"/>
  <c r="R5" i="7"/>
  <c r="S4" i="7"/>
  <c r="R4" i="7"/>
  <c r="G3" i="7"/>
  <c r="U1" i="7"/>
  <c r="T1" i="7"/>
  <c r="G92" i="7" l="1"/>
  <c r="E37" i="1" s="1"/>
  <c r="O92" i="7"/>
  <c r="M37" i="1" s="1"/>
  <c r="R65" i="7"/>
  <c r="H92" i="7"/>
  <c r="F37" i="1" s="1"/>
  <c r="P92" i="7"/>
  <c r="N37" i="1" s="1"/>
  <c r="I92" i="7"/>
  <c r="G37" i="1" s="1"/>
  <c r="Q92" i="7"/>
  <c r="O37" i="1" s="1"/>
  <c r="J92" i="7"/>
  <c r="H37" i="1" s="1"/>
  <c r="K92" i="7"/>
  <c r="L92" i="7"/>
  <c r="J37" i="1" s="1"/>
  <c r="M92" i="7"/>
  <c r="K37" i="1" s="1"/>
  <c r="F92" i="7"/>
  <c r="D37" i="1" s="1"/>
  <c r="N92" i="7"/>
  <c r="L37" i="1" s="1"/>
  <c r="R27" i="7"/>
  <c r="R127" i="7" s="1"/>
  <c r="M124" i="7"/>
  <c r="K36" i="1" s="1"/>
  <c r="F124" i="7"/>
  <c r="D36" i="1" s="1"/>
  <c r="N124" i="7"/>
  <c r="L36" i="1" s="1"/>
  <c r="L124" i="7"/>
  <c r="J36" i="1" s="1"/>
  <c r="R100" i="7"/>
  <c r="T4" i="7"/>
  <c r="T27" i="7" s="1"/>
  <c r="S27" i="7"/>
  <c r="G116" i="7"/>
  <c r="G124" i="7"/>
  <c r="E36" i="1" s="1"/>
  <c r="O124" i="7"/>
  <c r="M36" i="1" s="1"/>
  <c r="I116" i="7"/>
  <c r="M116" i="7"/>
  <c r="M118" i="7" s="1"/>
  <c r="J124" i="7"/>
  <c r="H36" i="1" s="1"/>
  <c r="I124" i="7"/>
  <c r="G36" i="1" s="1"/>
  <c r="Q124" i="7"/>
  <c r="O36" i="1" s="1"/>
  <c r="R112" i="7"/>
  <c r="I115" i="7"/>
  <c r="I118" i="7" s="1"/>
  <c r="N38" i="7"/>
  <c r="G38" i="7"/>
  <c r="K38" i="7"/>
  <c r="R131" i="7"/>
  <c r="R117" i="7"/>
  <c r="D40" i="1"/>
  <c r="R130" i="7"/>
  <c r="R106" i="7"/>
  <c r="D39" i="1"/>
  <c r="K115" i="7"/>
  <c r="L115" i="7"/>
  <c r="K38" i="1"/>
  <c r="R70" i="7"/>
  <c r="R71" i="7"/>
  <c r="R72" i="7"/>
  <c r="R73" i="7"/>
  <c r="R75" i="7"/>
  <c r="R76" i="7"/>
  <c r="R79" i="7"/>
  <c r="R80" i="7"/>
  <c r="R81" i="7"/>
  <c r="R83" i="7"/>
  <c r="R84" i="7"/>
  <c r="R85" i="7"/>
  <c r="R86" i="7"/>
  <c r="R87" i="7"/>
  <c r="R88" i="7"/>
  <c r="R89" i="7"/>
  <c r="O38" i="1"/>
  <c r="R107" i="7"/>
  <c r="P115" i="7"/>
  <c r="I37" i="1"/>
  <c r="J38" i="7"/>
  <c r="R101" i="7"/>
  <c r="R111" i="7"/>
  <c r="K124" i="7"/>
  <c r="I36" i="1" s="1"/>
  <c r="Q38" i="7"/>
  <c r="O38" i="7"/>
  <c r="M38" i="7"/>
  <c r="R34" i="7"/>
  <c r="J115" i="7"/>
  <c r="H38" i="1"/>
  <c r="F115" i="7"/>
  <c r="D38" i="1"/>
  <c r="N115" i="7"/>
  <c r="N118" i="7" s="1"/>
  <c r="L38" i="1"/>
  <c r="R123" i="7"/>
  <c r="G68" i="7"/>
  <c r="G41" i="7"/>
  <c r="P38" i="7"/>
  <c r="R77" i="7"/>
  <c r="R82" i="7"/>
  <c r="G115" i="7"/>
  <c r="H3" i="7"/>
  <c r="I38" i="7"/>
  <c r="L38" i="7"/>
  <c r="R78" i="7"/>
  <c r="G96" i="7"/>
  <c r="H115" i="7"/>
  <c r="P116" i="7"/>
  <c r="L116" i="7"/>
  <c r="H116" i="7"/>
  <c r="J116" i="7"/>
  <c r="O116" i="7"/>
  <c r="R126" i="7"/>
  <c r="N125" i="7"/>
  <c r="L35" i="1" s="1"/>
  <c r="R30" i="7"/>
  <c r="R32" i="7" s="1"/>
  <c r="H38" i="7"/>
  <c r="R69" i="7"/>
  <c r="R74" i="7"/>
  <c r="O115" i="7"/>
  <c r="F116" i="7"/>
  <c r="K116" i="7"/>
  <c r="Q116" i="7"/>
  <c r="Q118" i="7" s="1"/>
  <c r="R122" i="7"/>
  <c r="P57" i="1"/>
  <c r="P59" i="1"/>
  <c r="P60" i="1"/>
  <c r="P62" i="1"/>
  <c r="P63" i="1"/>
  <c r="P65" i="1"/>
  <c r="P66" i="1"/>
  <c r="P68" i="1"/>
  <c r="P69" i="1"/>
  <c r="P71" i="1"/>
  <c r="P72" i="1"/>
  <c r="P74" i="1"/>
  <c r="P75" i="1"/>
  <c r="P77" i="1"/>
  <c r="P78" i="1"/>
  <c r="P80" i="1"/>
  <c r="P81" i="1"/>
  <c r="P84" i="1"/>
  <c r="P85" i="1"/>
  <c r="P86" i="1"/>
  <c r="T57" i="7" l="1"/>
  <c r="T64" i="7"/>
  <c r="M125" i="7"/>
  <c r="K35" i="1" s="1"/>
  <c r="R37" i="7"/>
  <c r="R38" i="7" s="1"/>
  <c r="R92" i="7"/>
  <c r="L125" i="7"/>
  <c r="J35" i="1" s="1"/>
  <c r="J125" i="7"/>
  <c r="H35" i="1" s="1"/>
  <c r="K118" i="7"/>
  <c r="G125" i="7"/>
  <c r="E35" i="1" s="1"/>
  <c r="P118" i="7"/>
  <c r="G118" i="7"/>
  <c r="O125" i="7"/>
  <c r="M35" i="1" s="1"/>
  <c r="U4" i="7"/>
  <c r="U27" i="7" s="1"/>
  <c r="U28" i="7" s="1"/>
  <c r="L118" i="7"/>
  <c r="F125" i="7"/>
  <c r="D35" i="1" s="1"/>
  <c r="Q125" i="7"/>
  <c r="O35" i="1" s="1"/>
  <c r="I125" i="7"/>
  <c r="G35" i="1" s="1"/>
  <c r="K125" i="7"/>
  <c r="I35" i="1" s="1"/>
  <c r="R124" i="7"/>
  <c r="H96" i="7"/>
  <c r="H68" i="7"/>
  <c r="I3" i="7"/>
  <c r="H41" i="7"/>
  <c r="R116" i="7"/>
  <c r="O118" i="7"/>
  <c r="H118" i="7"/>
  <c r="F118" i="7"/>
  <c r="R115" i="7"/>
  <c r="R129" i="7"/>
  <c r="T43" i="7"/>
  <c r="J118" i="7"/>
  <c r="T44" i="7"/>
  <c r="T58" i="7" l="1"/>
  <c r="R125" i="7"/>
  <c r="R118" i="7"/>
  <c r="J3" i="7"/>
  <c r="I96" i="7"/>
  <c r="I41" i="7"/>
  <c r="I68" i="7"/>
  <c r="J68" i="7" l="1"/>
  <c r="J96" i="7"/>
  <c r="K3" i="7"/>
  <c r="J41" i="7"/>
  <c r="T42" i="7" l="1"/>
  <c r="K68" i="7"/>
  <c r="K41" i="7"/>
  <c r="T52" i="7" s="1"/>
  <c r="K96" i="7"/>
  <c r="L3" i="7"/>
  <c r="L96" i="7" l="1"/>
  <c r="L68" i="7"/>
  <c r="M3" i="7"/>
  <c r="L41" i="7"/>
  <c r="N3" i="7" l="1"/>
  <c r="M68" i="7"/>
  <c r="M96" i="7"/>
  <c r="M41" i="7"/>
  <c r="T49" i="7"/>
  <c r="T48" i="7"/>
  <c r="T46" i="7"/>
  <c r="S37" i="1"/>
  <c r="T37" i="1"/>
  <c r="U37" i="1"/>
  <c r="V37" i="1"/>
  <c r="S38" i="1"/>
  <c r="T38" i="1"/>
  <c r="U38" i="1"/>
  <c r="V38" i="1"/>
  <c r="W38" i="1"/>
  <c r="X38" i="1"/>
  <c r="Y38" i="1"/>
  <c r="Z38" i="1"/>
  <c r="AA38" i="1"/>
  <c r="AB38" i="1"/>
  <c r="AC38" i="1"/>
  <c r="AD38" i="1"/>
  <c r="S39" i="1"/>
  <c r="T39" i="1"/>
  <c r="U39" i="1"/>
  <c r="V39" i="1"/>
  <c r="W39" i="1"/>
  <c r="X39" i="1"/>
  <c r="Y39" i="1"/>
  <c r="Z39" i="1"/>
  <c r="AA39" i="1"/>
  <c r="AB39" i="1"/>
  <c r="AC39" i="1"/>
  <c r="AD39" i="1"/>
  <c r="S40" i="1"/>
  <c r="T40" i="1"/>
  <c r="U40" i="1"/>
  <c r="V40" i="1"/>
  <c r="W40" i="1"/>
  <c r="X40" i="1"/>
  <c r="Y40" i="1"/>
  <c r="Z40" i="1"/>
  <c r="AA40" i="1"/>
  <c r="AB40" i="1"/>
  <c r="AC40" i="1"/>
  <c r="AD40" i="1"/>
  <c r="H53" i="1"/>
  <c r="W53" i="1" s="1"/>
  <c r="D53" i="1"/>
  <c r="S53" i="1" s="1"/>
  <c r="D48" i="1"/>
  <c r="S48" i="1" s="1"/>
  <c r="D43" i="1"/>
  <c r="S43" i="1" s="1"/>
  <c r="E147" i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O53" i="1" s="1"/>
  <c r="AD53" i="1" s="1"/>
  <c r="E144" i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O48" i="1" s="1"/>
  <c r="AD48" i="1" s="1"/>
  <c r="E141" i="1"/>
  <c r="F141" i="1" s="1"/>
  <c r="W37" i="1"/>
  <c r="Y37" i="1"/>
  <c r="Z37" i="1"/>
  <c r="AC37" i="1"/>
  <c r="AD37" i="1"/>
  <c r="E138" i="1"/>
  <c r="F138" i="1" s="1"/>
  <c r="H138" i="1" s="1"/>
  <c r="I138" i="1" s="1"/>
  <c r="J138" i="1" s="1"/>
  <c r="K138" i="1" s="1"/>
  <c r="L138" i="1" s="1"/>
  <c r="M138" i="1" s="1"/>
  <c r="N138" i="1" s="1"/>
  <c r="O138" i="1" s="1"/>
  <c r="E137" i="1"/>
  <c r="F137" i="1" s="1"/>
  <c r="H137" i="1" s="1"/>
  <c r="I137" i="1" s="1"/>
  <c r="J137" i="1" s="1"/>
  <c r="K137" i="1" s="1"/>
  <c r="L137" i="1" s="1"/>
  <c r="M137" i="1" s="1"/>
  <c r="N137" i="1" s="1"/>
  <c r="O137" i="1" s="1"/>
  <c r="E136" i="1"/>
  <c r="F136" i="1" s="1"/>
  <c r="H136" i="1" s="1"/>
  <c r="I136" i="1" s="1"/>
  <c r="J136" i="1" s="1"/>
  <c r="K136" i="1" s="1"/>
  <c r="L136" i="1" s="1"/>
  <c r="M136" i="1" s="1"/>
  <c r="N136" i="1" s="1"/>
  <c r="O136" i="1" s="1"/>
  <c r="E135" i="1"/>
  <c r="F135" i="1" s="1"/>
  <c r="E129" i="1"/>
  <c r="F129" i="1" s="1"/>
  <c r="F32" i="1" s="1"/>
  <c r="U32" i="1" s="1"/>
  <c r="E128" i="1"/>
  <c r="F128" i="1" s="1"/>
  <c r="F31" i="1" s="1"/>
  <c r="U31" i="1" s="1"/>
  <c r="E127" i="1"/>
  <c r="E30" i="1" s="1"/>
  <c r="T30" i="1" s="1"/>
  <c r="D31" i="1"/>
  <c r="S31" i="1" s="1"/>
  <c r="D32" i="1"/>
  <c r="S32" i="1" s="1"/>
  <c r="D30" i="1"/>
  <c r="S30" i="1" s="1"/>
  <c r="E26" i="1"/>
  <c r="T26" i="1" s="1"/>
  <c r="D25" i="1"/>
  <c r="S25" i="1" s="1"/>
  <c r="D26" i="1"/>
  <c r="S26" i="1" s="1"/>
  <c r="D24" i="1"/>
  <c r="S24" i="1" s="1"/>
  <c r="F121" i="1"/>
  <c r="E122" i="1"/>
  <c r="F122" i="1" s="1"/>
  <c r="E121" i="1"/>
  <c r="E25" i="1" s="1"/>
  <c r="T25" i="1" s="1"/>
  <c r="E120" i="1"/>
  <c r="E24" i="1" s="1"/>
  <c r="T24" i="1" s="1"/>
  <c r="D20" i="1"/>
  <c r="S20" i="1" s="1"/>
  <c r="D19" i="1"/>
  <c r="S19" i="1" s="1"/>
  <c r="E115" i="1"/>
  <c r="F115" i="1" s="1"/>
  <c r="H115" i="1" s="1"/>
  <c r="I115" i="1" s="1"/>
  <c r="J115" i="1" s="1"/>
  <c r="K115" i="1" s="1"/>
  <c r="L115" i="1" s="1"/>
  <c r="M115" i="1" s="1"/>
  <c r="N115" i="1" s="1"/>
  <c r="O115" i="1" s="1"/>
  <c r="O20" i="1" s="1"/>
  <c r="AD20" i="1" s="1"/>
  <c r="E114" i="1"/>
  <c r="F114" i="1" s="1"/>
  <c r="F110" i="1"/>
  <c r="F15" i="1" s="1"/>
  <c r="U15" i="1" s="1"/>
  <c r="E110" i="1"/>
  <c r="E109" i="1"/>
  <c r="E14" i="1" s="1"/>
  <c r="T14" i="1" s="1"/>
  <c r="E15" i="1"/>
  <c r="T15" i="1" s="1"/>
  <c r="D15" i="1"/>
  <c r="S15" i="1" s="1"/>
  <c r="D14" i="1"/>
  <c r="S14" i="1" s="1"/>
  <c r="P146" i="1"/>
  <c r="P143" i="1"/>
  <c r="P140" i="1"/>
  <c r="P134" i="1"/>
  <c r="P133" i="1"/>
  <c r="P132" i="1"/>
  <c r="P131" i="1"/>
  <c r="P126" i="1"/>
  <c r="P125" i="1"/>
  <c r="P124" i="1"/>
  <c r="P119" i="1"/>
  <c r="P118" i="1"/>
  <c r="P117" i="1"/>
  <c r="P113" i="1"/>
  <c r="P112" i="1"/>
  <c r="P108" i="1"/>
  <c r="P107" i="1"/>
  <c r="F26" i="1" l="1"/>
  <c r="U26" i="1" s="1"/>
  <c r="G141" i="1"/>
  <c r="F43" i="1"/>
  <c r="U43" i="1" s="1"/>
  <c r="H121" i="1"/>
  <c r="G25" i="1"/>
  <c r="V25" i="1" s="1"/>
  <c r="M48" i="1"/>
  <c r="AB48" i="1" s="1"/>
  <c r="J20" i="1"/>
  <c r="Y20" i="1" s="1"/>
  <c r="G53" i="1"/>
  <c r="V53" i="1" s="1"/>
  <c r="G20" i="1"/>
  <c r="V20" i="1" s="1"/>
  <c r="F120" i="1"/>
  <c r="F25" i="1"/>
  <c r="U25" i="1" s="1"/>
  <c r="J48" i="1"/>
  <c r="Y48" i="1" s="1"/>
  <c r="M53" i="1"/>
  <c r="AB53" i="1" s="1"/>
  <c r="E53" i="1"/>
  <c r="T53" i="1" s="1"/>
  <c r="E48" i="1"/>
  <c r="T48" i="1" s="1"/>
  <c r="H20" i="1"/>
  <c r="W20" i="1" s="1"/>
  <c r="N20" i="1"/>
  <c r="AC20" i="1" s="1"/>
  <c r="F20" i="1"/>
  <c r="U20" i="1" s="1"/>
  <c r="E32" i="1"/>
  <c r="T32" i="1" s="1"/>
  <c r="I48" i="1"/>
  <c r="X48" i="1" s="1"/>
  <c r="L53" i="1"/>
  <c r="AA53" i="1" s="1"/>
  <c r="F53" i="1"/>
  <c r="U53" i="1" s="1"/>
  <c r="M20" i="1"/>
  <c r="AB20" i="1" s="1"/>
  <c r="E20" i="1"/>
  <c r="T20" i="1" s="1"/>
  <c r="H135" i="1"/>
  <c r="I135" i="1" s="1"/>
  <c r="J135" i="1" s="1"/>
  <c r="K135" i="1" s="1"/>
  <c r="L135" i="1" s="1"/>
  <c r="M135" i="1" s="1"/>
  <c r="N135" i="1" s="1"/>
  <c r="O135" i="1" s="1"/>
  <c r="E43" i="1"/>
  <c r="T43" i="1" s="1"/>
  <c r="H48" i="1"/>
  <c r="W48" i="1" s="1"/>
  <c r="K53" i="1"/>
  <c r="Z53" i="1" s="1"/>
  <c r="L48" i="1"/>
  <c r="AA48" i="1" s="1"/>
  <c r="K48" i="1"/>
  <c r="Z48" i="1" s="1"/>
  <c r="L20" i="1"/>
  <c r="AA20" i="1" s="1"/>
  <c r="G48" i="1"/>
  <c r="V48" i="1" s="1"/>
  <c r="J53" i="1"/>
  <c r="Y53" i="1" s="1"/>
  <c r="I20" i="1"/>
  <c r="X20" i="1" s="1"/>
  <c r="N53" i="1"/>
  <c r="AC53" i="1" s="1"/>
  <c r="H114" i="1"/>
  <c r="H19" i="1" s="1"/>
  <c r="W19" i="1" s="1"/>
  <c r="K20" i="1"/>
  <c r="Z20" i="1" s="1"/>
  <c r="E31" i="1"/>
  <c r="T31" i="1" s="1"/>
  <c r="N48" i="1"/>
  <c r="AC48" i="1" s="1"/>
  <c r="F48" i="1"/>
  <c r="U48" i="1" s="1"/>
  <c r="I53" i="1"/>
  <c r="X53" i="1" s="1"/>
  <c r="F127" i="1"/>
  <c r="F19" i="1"/>
  <c r="U19" i="1" s="1"/>
  <c r="G19" i="1"/>
  <c r="V19" i="1" s="1"/>
  <c r="E19" i="1"/>
  <c r="T19" i="1" s="1"/>
  <c r="F109" i="1"/>
  <c r="T62" i="7"/>
  <c r="T59" i="7"/>
  <c r="T54" i="7"/>
  <c r="T53" i="7"/>
  <c r="N96" i="7"/>
  <c r="N41" i="7"/>
  <c r="T47" i="7" s="1"/>
  <c r="O3" i="7"/>
  <c r="N68" i="7"/>
  <c r="AB37" i="1"/>
  <c r="X37" i="1"/>
  <c r="AA37" i="1"/>
  <c r="G128" i="1"/>
  <c r="G31" i="1" s="1"/>
  <c r="V31" i="1" s="1"/>
  <c r="G129" i="1"/>
  <c r="G32" i="1" s="1"/>
  <c r="V32" i="1" s="1"/>
  <c r="T51" i="7" l="1"/>
  <c r="T56" i="7"/>
  <c r="I121" i="1"/>
  <c r="H25" i="1"/>
  <c r="W25" i="1" s="1"/>
  <c r="F24" i="1"/>
  <c r="U24" i="1" s="1"/>
  <c r="H141" i="1"/>
  <c r="G43" i="1"/>
  <c r="V43" i="1" s="1"/>
  <c r="I114" i="1"/>
  <c r="G26" i="1"/>
  <c r="V26" i="1" s="1"/>
  <c r="H122" i="1"/>
  <c r="F30" i="1"/>
  <c r="U30" i="1" s="1"/>
  <c r="F14" i="1"/>
  <c r="U14" i="1" s="1"/>
  <c r="O68" i="7"/>
  <c r="O41" i="7"/>
  <c r="O96" i="7"/>
  <c r="P3" i="7"/>
  <c r="H128" i="1"/>
  <c r="H31" i="1" s="1"/>
  <c r="W31" i="1" s="1"/>
  <c r="H129" i="1"/>
  <c r="H32" i="1" s="1"/>
  <c r="W32" i="1" s="1"/>
  <c r="H110" i="1"/>
  <c r="G15" i="1"/>
  <c r="V15" i="1" s="1"/>
  <c r="H43" i="1" l="1"/>
  <c r="W43" i="1" s="1"/>
  <c r="I141" i="1"/>
  <c r="G14" i="1"/>
  <c r="V14" i="1" s="1"/>
  <c r="H109" i="1"/>
  <c r="T55" i="7"/>
  <c r="T63" i="7"/>
  <c r="J121" i="1"/>
  <c r="I25" i="1"/>
  <c r="X25" i="1" s="1"/>
  <c r="G24" i="1"/>
  <c r="V24" i="1" s="1"/>
  <c r="H120" i="1"/>
  <c r="H26" i="1"/>
  <c r="W26" i="1" s="1"/>
  <c r="I122" i="1"/>
  <c r="J114" i="1"/>
  <c r="I19" i="1"/>
  <c r="X19" i="1" s="1"/>
  <c r="H127" i="1"/>
  <c r="G30" i="1"/>
  <c r="V30" i="1" s="1"/>
  <c r="P96" i="7"/>
  <c r="P68" i="7"/>
  <c r="Q3" i="7"/>
  <c r="P41" i="7"/>
  <c r="I129" i="1"/>
  <c r="I32" i="1" s="1"/>
  <c r="X32" i="1" s="1"/>
  <c r="I128" i="1"/>
  <c r="I31" i="1" s="1"/>
  <c r="X31" i="1" s="1"/>
  <c r="I110" i="1"/>
  <c r="H15" i="1"/>
  <c r="W15" i="1" s="1"/>
  <c r="J122" i="1" l="1"/>
  <c r="I26" i="1"/>
  <c r="X26" i="1" s="1"/>
  <c r="H14" i="1"/>
  <c r="W14" i="1" s="1"/>
  <c r="I109" i="1"/>
  <c r="K121" i="1"/>
  <c r="J25" i="1"/>
  <c r="Y25" i="1" s="1"/>
  <c r="K114" i="1"/>
  <c r="J19" i="1"/>
  <c r="Y19" i="1" s="1"/>
  <c r="H24" i="1"/>
  <c r="W24" i="1" s="1"/>
  <c r="I120" i="1"/>
  <c r="J141" i="1"/>
  <c r="I43" i="1"/>
  <c r="X43" i="1" s="1"/>
  <c r="H30" i="1"/>
  <c r="W30" i="1" s="1"/>
  <c r="I127" i="1"/>
  <c r="Q68" i="7"/>
  <c r="Q96" i="7"/>
  <c r="Q41" i="7"/>
  <c r="J128" i="1"/>
  <c r="J31" i="1" s="1"/>
  <c r="Y31" i="1" s="1"/>
  <c r="J129" i="1"/>
  <c r="J32" i="1" s="1"/>
  <c r="Y32" i="1" s="1"/>
  <c r="I15" i="1"/>
  <c r="X15" i="1" s="1"/>
  <c r="J110" i="1"/>
  <c r="L114" i="1" l="1"/>
  <c r="K19" i="1"/>
  <c r="Z19" i="1" s="1"/>
  <c r="L121" i="1"/>
  <c r="K25" i="1"/>
  <c r="Z25" i="1" s="1"/>
  <c r="J109" i="1"/>
  <c r="I14" i="1"/>
  <c r="X14" i="1" s="1"/>
  <c r="K141" i="1"/>
  <c r="J43" i="1"/>
  <c r="Y43" i="1" s="1"/>
  <c r="J120" i="1"/>
  <c r="I24" i="1"/>
  <c r="X24" i="1" s="1"/>
  <c r="T50" i="7"/>
  <c r="T45" i="7"/>
  <c r="K122" i="1"/>
  <c r="J26" i="1"/>
  <c r="Y26" i="1" s="1"/>
  <c r="I30" i="1"/>
  <c r="X30" i="1" s="1"/>
  <c r="J127" i="1"/>
  <c r="T60" i="7"/>
  <c r="T61" i="7"/>
  <c r="K128" i="1"/>
  <c r="K31" i="1" s="1"/>
  <c r="Z31" i="1" s="1"/>
  <c r="K129" i="1"/>
  <c r="K32" i="1" s="1"/>
  <c r="Z32" i="1" s="1"/>
  <c r="J15" i="1"/>
  <c r="Y15" i="1" s="1"/>
  <c r="K110" i="1"/>
  <c r="L122" i="1" l="1"/>
  <c r="K26" i="1"/>
  <c r="Z26" i="1" s="1"/>
  <c r="K109" i="1"/>
  <c r="J14" i="1"/>
  <c r="Y14" i="1" s="1"/>
  <c r="L141" i="1"/>
  <c r="K43" i="1"/>
  <c r="Z43" i="1" s="1"/>
  <c r="M121" i="1"/>
  <c r="L25" i="1"/>
  <c r="AA25" i="1" s="1"/>
  <c r="K120" i="1"/>
  <c r="J24" i="1"/>
  <c r="Y24" i="1" s="1"/>
  <c r="M114" i="1"/>
  <c r="L19" i="1"/>
  <c r="AA19" i="1" s="1"/>
  <c r="J30" i="1"/>
  <c r="Y30" i="1" s="1"/>
  <c r="K127" i="1"/>
  <c r="L129" i="1"/>
  <c r="L32" i="1" s="1"/>
  <c r="AA32" i="1" s="1"/>
  <c r="L128" i="1"/>
  <c r="L31" i="1" s="1"/>
  <c r="AA31" i="1" s="1"/>
  <c r="L110" i="1"/>
  <c r="K15" i="1"/>
  <c r="Z15" i="1" s="1"/>
  <c r="N114" i="1" l="1"/>
  <c r="M19" i="1"/>
  <c r="AB19" i="1" s="1"/>
  <c r="L109" i="1"/>
  <c r="K14" i="1"/>
  <c r="Z14" i="1" s="1"/>
  <c r="N121" i="1"/>
  <c r="M25" i="1"/>
  <c r="AB25" i="1" s="1"/>
  <c r="M141" i="1"/>
  <c r="L43" i="1"/>
  <c r="AA43" i="1" s="1"/>
  <c r="L120" i="1"/>
  <c r="K24" i="1"/>
  <c r="Z24" i="1" s="1"/>
  <c r="M122" i="1"/>
  <c r="L26" i="1"/>
  <c r="AA26" i="1" s="1"/>
  <c r="K30" i="1"/>
  <c r="Z30" i="1" s="1"/>
  <c r="L127" i="1"/>
  <c r="M128" i="1"/>
  <c r="M31" i="1" s="1"/>
  <c r="AB31" i="1" s="1"/>
  <c r="M129" i="1"/>
  <c r="M32" i="1" s="1"/>
  <c r="AB32" i="1" s="1"/>
  <c r="M110" i="1"/>
  <c r="L15" i="1"/>
  <c r="AA15" i="1" s="1"/>
  <c r="N141" i="1" l="1"/>
  <c r="M43" i="1"/>
  <c r="AB43" i="1" s="1"/>
  <c r="N122" i="1"/>
  <c r="M26" i="1"/>
  <c r="AB26" i="1" s="1"/>
  <c r="M109" i="1"/>
  <c r="L14" i="1"/>
  <c r="AA14" i="1" s="1"/>
  <c r="O121" i="1"/>
  <c r="O25" i="1" s="1"/>
  <c r="AD25" i="1" s="1"/>
  <c r="N25" i="1"/>
  <c r="AC25" i="1" s="1"/>
  <c r="M120" i="1"/>
  <c r="L24" i="1"/>
  <c r="AA24" i="1" s="1"/>
  <c r="O114" i="1"/>
  <c r="O19" i="1" s="1"/>
  <c r="AD19" i="1" s="1"/>
  <c r="N19" i="1"/>
  <c r="AC19" i="1" s="1"/>
  <c r="L30" i="1"/>
  <c r="AA30" i="1" s="1"/>
  <c r="M127" i="1"/>
  <c r="N129" i="1"/>
  <c r="N32" i="1" s="1"/>
  <c r="AC32" i="1" s="1"/>
  <c r="N128" i="1"/>
  <c r="N31" i="1" s="1"/>
  <c r="AC31" i="1" s="1"/>
  <c r="M15" i="1"/>
  <c r="AB15" i="1" s="1"/>
  <c r="N110" i="1"/>
  <c r="N109" i="1" l="1"/>
  <c r="M14" i="1"/>
  <c r="AB14" i="1" s="1"/>
  <c r="O122" i="1"/>
  <c r="O26" i="1" s="1"/>
  <c r="AD26" i="1" s="1"/>
  <c r="N26" i="1"/>
  <c r="AC26" i="1" s="1"/>
  <c r="N120" i="1"/>
  <c r="M24" i="1"/>
  <c r="AB24" i="1" s="1"/>
  <c r="O141" i="1"/>
  <c r="O43" i="1" s="1"/>
  <c r="AD43" i="1" s="1"/>
  <c r="N43" i="1"/>
  <c r="AC43" i="1" s="1"/>
  <c r="M30" i="1"/>
  <c r="AB30" i="1" s="1"/>
  <c r="N127" i="1"/>
  <c r="O128" i="1"/>
  <c r="O31" i="1" s="1"/>
  <c r="AD31" i="1" s="1"/>
  <c r="O129" i="1"/>
  <c r="O32" i="1" s="1"/>
  <c r="AD32" i="1" s="1"/>
  <c r="N15" i="1"/>
  <c r="AC15" i="1" s="1"/>
  <c r="O110" i="1"/>
  <c r="O15" i="1" s="1"/>
  <c r="AD15" i="1" s="1"/>
  <c r="O120" i="1" l="1"/>
  <c r="O24" i="1" s="1"/>
  <c r="AD24" i="1" s="1"/>
  <c r="N24" i="1"/>
  <c r="AC24" i="1" s="1"/>
  <c r="N14" i="1"/>
  <c r="AC14" i="1" s="1"/>
  <c r="O109" i="1"/>
  <c r="O14" i="1" s="1"/>
  <c r="AD14" i="1" s="1"/>
  <c r="N30" i="1"/>
  <c r="AC30" i="1" s="1"/>
  <c r="O127" i="1"/>
  <c r="O30" i="1" s="1"/>
  <c r="AD30" i="1" s="1"/>
  <c r="P54" i="1" l="1"/>
  <c r="E94" i="1" l="1"/>
  <c r="F94" i="1"/>
  <c r="G94" i="1"/>
  <c r="H94" i="1"/>
  <c r="I94" i="1"/>
  <c r="J94" i="1"/>
  <c r="K94" i="1"/>
  <c r="L94" i="1"/>
  <c r="M94" i="1"/>
  <c r="N94" i="1"/>
  <c r="O94" i="1"/>
  <c r="D94" i="1"/>
  <c r="P94" i="1" l="1"/>
  <c r="T94" i="1"/>
  <c r="U94" i="1"/>
  <c r="V94" i="1"/>
  <c r="W94" i="1"/>
  <c r="X94" i="1"/>
  <c r="Y94" i="1"/>
  <c r="Z94" i="1"/>
  <c r="AA94" i="1"/>
  <c r="AC94" i="1"/>
  <c r="AD94" i="1"/>
  <c r="S94" i="1"/>
  <c r="AE94" i="1" l="1"/>
  <c r="AE53" i="1"/>
  <c r="AE54" i="1"/>
  <c r="G76" i="1" l="1"/>
  <c r="H76" i="1"/>
  <c r="I76" i="1"/>
  <c r="J76" i="1"/>
  <c r="K76" i="1"/>
  <c r="K92" i="1" s="1"/>
  <c r="K101" i="1" s="1"/>
  <c r="L76" i="1"/>
  <c r="L92" i="1" s="1"/>
  <c r="L101" i="1" s="1"/>
  <c r="M76" i="1"/>
  <c r="F70" i="1"/>
  <c r="E76" i="1"/>
  <c r="F76" i="1"/>
  <c r="N76" i="1"/>
  <c r="O76" i="1"/>
  <c r="E79" i="1"/>
  <c r="F79" i="1"/>
  <c r="G79" i="1"/>
  <c r="H79" i="1"/>
  <c r="I79" i="1"/>
  <c r="J79" i="1"/>
  <c r="K79" i="1"/>
  <c r="L79" i="1"/>
  <c r="M79" i="1"/>
  <c r="N79" i="1"/>
  <c r="O79" i="1"/>
  <c r="E82" i="1"/>
  <c r="F82" i="1"/>
  <c r="G82" i="1"/>
  <c r="H82" i="1"/>
  <c r="I82" i="1"/>
  <c r="J82" i="1"/>
  <c r="K82" i="1"/>
  <c r="L82" i="1"/>
  <c r="M82" i="1"/>
  <c r="N82" i="1"/>
  <c r="O82" i="1"/>
  <c r="D82" i="1"/>
  <c r="D79" i="1"/>
  <c r="D76" i="1"/>
  <c r="E70" i="1"/>
  <c r="G70" i="1"/>
  <c r="H70" i="1"/>
  <c r="I70" i="1"/>
  <c r="J70" i="1"/>
  <c r="K70" i="1"/>
  <c r="L70" i="1"/>
  <c r="M70" i="1"/>
  <c r="N70" i="1"/>
  <c r="O70" i="1"/>
  <c r="E73" i="1"/>
  <c r="F73" i="1"/>
  <c r="G73" i="1"/>
  <c r="H73" i="1"/>
  <c r="I73" i="1"/>
  <c r="J73" i="1"/>
  <c r="K73" i="1"/>
  <c r="L73" i="1"/>
  <c r="M73" i="1"/>
  <c r="N73" i="1"/>
  <c r="O73" i="1"/>
  <c r="D73" i="1"/>
  <c r="D70" i="1"/>
  <c r="E64" i="1"/>
  <c r="F64" i="1"/>
  <c r="G64" i="1"/>
  <c r="H64" i="1"/>
  <c r="I64" i="1"/>
  <c r="J64" i="1"/>
  <c r="K64" i="1"/>
  <c r="L64" i="1"/>
  <c r="M64" i="1"/>
  <c r="N64" i="1"/>
  <c r="O64" i="1"/>
  <c r="E67" i="1"/>
  <c r="F67" i="1"/>
  <c r="G67" i="1"/>
  <c r="H67" i="1"/>
  <c r="I67" i="1"/>
  <c r="J67" i="1"/>
  <c r="K67" i="1"/>
  <c r="L67" i="1"/>
  <c r="M67" i="1"/>
  <c r="N67" i="1"/>
  <c r="O67" i="1"/>
  <c r="D67" i="1"/>
  <c r="D64" i="1"/>
  <c r="E61" i="1"/>
  <c r="F61" i="1"/>
  <c r="G61" i="1"/>
  <c r="H61" i="1"/>
  <c r="I61" i="1"/>
  <c r="J61" i="1"/>
  <c r="K61" i="1"/>
  <c r="L61" i="1"/>
  <c r="M61" i="1"/>
  <c r="N61" i="1"/>
  <c r="O61" i="1"/>
  <c r="D61" i="1"/>
  <c r="P61" i="1" s="1"/>
  <c r="P56" i="1"/>
  <c r="E58" i="1"/>
  <c r="F58" i="1"/>
  <c r="G58" i="1"/>
  <c r="H58" i="1"/>
  <c r="I58" i="1"/>
  <c r="I89" i="1" s="1"/>
  <c r="J58" i="1"/>
  <c r="J89" i="1" s="1"/>
  <c r="K58" i="1"/>
  <c r="K83" i="1" s="1"/>
  <c r="L58" i="1"/>
  <c r="M58" i="1"/>
  <c r="N58" i="1"/>
  <c r="O58" i="1"/>
  <c r="D58" i="1"/>
  <c r="M89" i="1" l="1"/>
  <c r="M98" i="1" s="1"/>
  <c r="P82" i="1"/>
  <c r="P79" i="1"/>
  <c r="P73" i="1"/>
  <c r="P70" i="1"/>
  <c r="M90" i="1"/>
  <c r="M99" i="1" s="1"/>
  <c r="E90" i="1"/>
  <c r="E99" i="1" s="1"/>
  <c r="P67" i="1"/>
  <c r="I90" i="1"/>
  <c r="I99" i="1" s="1"/>
  <c r="D90" i="1"/>
  <c r="D99" i="1" s="1"/>
  <c r="P64" i="1"/>
  <c r="F89" i="1"/>
  <c r="F98" i="1" s="1"/>
  <c r="E89" i="1"/>
  <c r="E98" i="1" s="1"/>
  <c r="L83" i="1"/>
  <c r="P58" i="1"/>
  <c r="J92" i="1"/>
  <c r="J101" i="1" s="1"/>
  <c r="J83" i="1"/>
  <c r="N92" i="1"/>
  <c r="N101" i="1" s="1"/>
  <c r="N83" i="1"/>
  <c r="I92" i="1"/>
  <c r="I101" i="1" s="1"/>
  <c r="I83" i="1"/>
  <c r="F92" i="1"/>
  <c r="F101" i="1" s="1"/>
  <c r="F83" i="1"/>
  <c r="H92" i="1"/>
  <c r="H101" i="1" s="1"/>
  <c r="H83" i="1"/>
  <c r="O92" i="1"/>
  <c r="O101" i="1" s="1"/>
  <c r="O83" i="1"/>
  <c r="M92" i="1"/>
  <c r="M101" i="1" s="1"/>
  <c r="M83" i="1"/>
  <c r="D92" i="1"/>
  <c r="D101" i="1" s="1"/>
  <c r="P76" i="1"/>
  <c r="D83" i="1"/>
  <c r="E92" i="1"/>
  <c r="E101" i="1" s="1"/>
  <c r="E83" i="1"/>
  <c r="G92" i="1"/>
  <c r="G101" i="1" s="1"/>
  <c r="G83" i="1"/>
  <c r="M93" i="1"/>
  <c r="M102" i="1" s="1"/>
  <c r="I93" i="1"/>
  <c r="I102" i="1" s="1"/>
  <c r="E93" i="1"/>
  <c r="E102" i="1" s="1"/>
  <c r="E91" i="1"/>
  <c r="E100" i="1" s="1"/>
  <c r="M91" i="1"/>
  <c r="M100" i="1" s="1"/>
  <c r="I91" i="1"/>
  <c r="I100" i="1" s="1"/>
  <c r="N90" i="1"/>
  <c r="N99" i="1" s="1"/>
  <c r="J90" i="1"/>
  <c r="J99" i="1" s="1"/>
  <c r="F90" i="1"/>
  <c r="F99" i="1" s="1"/>
  <c r="N91" i="1"/>
  <c r="N100" i="1" s="1"/>
  <c r="J91" i="1"/>
  <c r="J100" i="1" s="1"/>
  <c r="N93" i="1"/>
  <c r="N102" i="1" s="1"/>
  <c r="J93" i="1"/>
  <c r="J102" i="1" s="1"/>
  <c r="F93" i="1"/>
  <c r="F102" i="1" s="1"/>
  <c r="F91" i="1"/>
  <c r="F100" i="1" s="1"/>
  <c r="D91" i="1"/>
  <c r="D100" i="1" s="1"/>
  <c r="D93" i="1"/>
  <c r="D102" i="1" s="1"/>
  <c r="L93" i="1"/>
  <c r="L102" i="1" s="1"/>
  <c r="H93" i="1"/>
  <c r="H102" i="1" s="1"/>
  <c r="O93" i="1"/>
  <c r="O102" i="1" s="1"/>
  <c r="K93" i="1"/>
  <c r="K102" i="1" s="1"/>
  <c r="G93" i="1"/>
  <c r="G102" i="1" s="1"/>
  <c r="L91" i="1"/>
  <c r="L100" i="1" s="1"/>
  <c r="H91" i="1"/>
  <c r="H100" i="1" s="1"/>
  <c r="K91" i="1"/>
  <c r="K100" i="1" s="1"/>
  <c r="G91" i="1"/>
  <c r="G100" i="1" s="1"/>
  <c r="L90" i="1"/>
  <c r="L99" i="1" s="1"/>
  <c r="H90" i="1"/>
  <c r="H99" i="1" s="1"/>
  <c r="K90" i="1"/>
  <c r="K99" i="1" s="1"/>
  <c r="G90" i="1"/>
  <c r="G99" i="1" s="1"/>
  <c r="D89" i="1"/>
  <c r="D98" i="1" s="1"/>
  <c r="L89" i="1"/>
  <c r="L98" i="1" s="1"/>
  <c r="H89" i="1"/>
  <c r="K89" i="1"/>
  <c r="K98" i="1" s="1"/>
  <c r="G89" i="1"/>
  <c r="G98" i="1" s="1"/>
  <c r="J98" i="1"/>
  <c r="I98" i="1"/>
  <c r="O90" i="1"/>
  <c r="O99" i="1" s="1"/>
  <c r="O89" i="1"/>
  <c r="O98" i="1" s="1"/>
  <c r="O91" i="1"/>
  <c r="N89" i="1"/>
  <c r="T44" i="1"/>
  <c r="AE19" i="1"/>
  <c r="AE20" i="1"/>
  <c r="AE24" i="1"/>
  <c r="AE25" i="1"/>
  <c r="AE26" i="1"/>
  <c r="AE30" i="1"/>
  <c r="AE31" i="1"/>
  <c r="AE32" i="1"/>
  <c r="AE37" i="1"/>
  <c r="AE38" i="1"/>
  <c r="AE39" i="1"/>
  <c r="AE40" i="1"/>
  <c r="AE43" i="1"/>
  <c r="AE48" i="1"/>
  <c r="T4" i="1"/>
  <c r="U4" i="1"/>
  <c r="V4" i="1"/>
  <c r="W4" i="1"/>
  <c r="X4" i="1"/>
  <c r="Y4" i="1"/>
  <c r="Z4" i="1"/>
  <c r="AA4" i="1"/>
  <c r="AB4" i="1"/>
  <c r="AC4" i="1"/>
  <c r="AD4" i="1"/>
  <c r="T5" i="1"/>
  <c r="U5" i="1"/>
  <c r="V5" i="1"/>
  <c r="W5" i="1"/>
  <c r="X5" i="1"/>
  <c r="Y5" i="1"/>
  <c r="Z5" i="1"/>
  <c r="AA5" i="1"/>
  <c r="AB5" i="1"/>
  <c r="AC5" i="1"/>
  <c r="AD5" i="1"/>
  <c r="T6" i="1"/>
  <c r="U6" i="1"/>
  <c r="V6" i="1"/>
  <c r="W6" i="1"/>
  <c r="X6" i="1"/>
  <c r="Y6" i="1"/>
  <c r="Z6" i="1"/>
  <c r="AA6" i="1"/>
  <c r="AB6" i="1"/>
  <c r="AC6" i="1"/>
  <c r="AD6" i="1"/>
  <c r="T7" i="1"/>
  <c r="U7" i="1"/>
  <c r="V7" i="1"/>
  <c r="W7" i="1"/>
  <c r="X7" i="1"/>
  <c r="Y7" i="1"/>
  <c r="Z7" i="1"/>
  <c r="AA7" i="1"/>
  <c r="AB7" i="1"/>
  <c r="AC7" i="1"/>
  <c r="AD7" i="1"/>
  <c r="T8" i="1"/>
  <c r="U8" i="1"/>
  <c r="V8" i="1"/>
  <c r="W8" i="1"/>
  <c r="X8" i="1"/>
  <c r="Y8" i="1"/>
  <c r="Z8" i="1"/>
  <c r="AA8" i="1"/>
  <c r="AB8" i="1"/>
  <c r="AC8" i="1"/>
  <c r="AD8" i="1"/>
  <c r="T9" i="1"/>
  <c r="U9" i="1"/>
  <c r="V9" i="1"/>
  <c r="W9" i="1"/>
  <c r="X9" i="1"/>
  <c r="Y9" i="1"/>
  <c r="Z9" i="1"/>
  <c r="AA9" i="1"/>
  <c r="AB9" i="1"/>
  <c r="AC9" i="1"/>
  <c r="AD9" i="1"/>
  <c r="T10" i="1"/>
  <c r="U10" i="1"/>
  <c r="V10" i="1"/>
  <c r="W10" i="1"/>
  <c r="X10" i="1"/>
  <c r="Y10" i="1"/>
  <c r="Z10" i="1"/>
  <c r="AA10" i="1"/>
  <c r="AB10" i="1"/>
  <c r="AC10" i="1"/>
  <c r="AD10" i="1"/>
  <c r="T11" i="1"/>
  <c r="U11" i="1"/>
  <c r="V11" i="1"/>
  <c r="W11" i="1"/>
  <c r="X11" i="1"/>
  <c r="Y11" i="1"/>
  <c r="Z11" i="1"/>
  <c r="AA11" i="1"/>
  <c r="AB11" i="1"/>
  <c r="AC11" i="1"/>
  <c r="AD11" i="1"/>
  <c r="T12" i="1"/>
  <c r="U12" i="1"/>
  <c r="V12" i="1"/>
  <c r="W12" i="1"/>
  <c r="X12" i="1"/>
  <c r="Y12" i="1"/>
  <c r="Z12" i="1"/>
  <c r="AA12" i="1"/>
  <c r="AB12" i="1"/>
  <c r="AC12" i="1"/>
  <c r="AD12" i="1"/>
  <c r="T13" i="1"/>
  <c r="U13" i="1"/>
  <c r="V13" i="1"/>
  <c r="W13" i="1"/>
  <c r="X13" i="1"/>
  <c r="Y13" i="1"/>
  <c r="Z13" i="1"/>
  <c r="AA13" i="1"/>
  <c r="AB13" i="1"/>
  <c r="AC13" i="1"/>
  <c r="AD13" i="1"/>
  <c r="T16" i="1"/>
  <c r="U16" i="1"/>
  <c r="V16" i="1"/>
  <c r="W16" i="1"/>
  <c r="X16" i="1"/>
  <c r="Y16" i="1"/>
  <c r="Z16" i="1"/>
  <c r="AA16" i="1"/>
  <c r="AB16" i="1"/>
  <c r="AC16" i="1"/>
  <c r="AD16" i="1"/>
  <c r="T17" i="1"/>
  <c r="U17" i="1"/>
  <c r="V17" i="1"/>
  <c r="W17" i="1"/>
  <c r="X17" i="1"/>
  <c r="Y17" i="1"/>
  <c r="Z17" i="1"/>
  <c r="AA17" i="1"/>
  <c r="AB17" i="1"/>
  <c r="AC17" i="1"/>
  <c r="AD17" i="1"/>
  <c r="T18" i="1"/>
  <c r="U18" i="1"/>
  <c r="V18" i="1"/>
  <c r="W18" i="1"/>
  <c r="X18" i="1"/>
  <c r="Y18" i="1"/>
  <c r="Z18" i="1"/>
  <c r="AA18" i="1"/>
  <c r="AB18" i="1"/>
  <c r="AC18" i="1"/>
  <c r="AD18" i="1"/>
  <c r="T21" i="1"/>
  <c r="U21" i="1"/>
  <c r="V21" i="1"/>
  <c r="W21" i="1"/>
  <c r="X21" i="1"/>
  <c r="Y21" i="1"/>
  <c r="Z21" i="1"/>
  <c r="AA21" i="1"/>
  <c r="AB21" i="1"/>
  <c r="AC21" i="1"/>
  <c r="AD21" i="1"/>
  <c r="T22" i="1"/>
  <c r="U22" i="1"/>
  <c r="V22" i="1"/>
  <c r="W22" i="1"/>
  <c r="X22" i="1"/>
  <c r="Y22" i="1"/>
  <c r="Z22" i="1"/>
  <c r="AA22" i="1"/>
  <c r="AB22" i="1"/>
  <c r="AC22" i="1"/>
  <c r="AD22" i="1"/>
  <c r="T23" i="1"/>
  <c r="U23" i="1"/>
  <c r="V23" i="1"/>
  <c r="W23" i="1"/>
  <c r="X23" i="1"/>
  <c r="Y23" i="1"/>
  <c r="Z23" i="1"/>
  <c r="AA23" i="1"/>
  <c r="AB23" i="1"/>
  <c r="AC23" i="1"/>
  <c r="AD23" i="1"/>
  <c r="T27" i="1"/>
  <c r="U27" i="1"/>
  <c r="V27" i="1"/>
  <c r="W27" i="1"/>
  <c r="X27" i="1"/>
  <c r="Y27" i="1"/>
  <c r="Z27" i="1"/>
  <c r="AA27" i="1"/>
  <c r="AB27" i="1"/>
  <c r="AC27" i="1"/>
  <c r="AD27" i="1"/>
  <c r="T28" i="1"/>
  <c r="U28" i="1"/>
  <c r="V28" i="1"/>
  <c r="W28" i="1"/>
  <c r="X28" i="1"/>
  <c r="Y28" i="1"/>
  <c r="Z28" i="1"/>
  <c r="AA28" i="1"/>
  <c r="AB28" i="1"/>
  <c r="AC28" i="1"/>
  <c r="AD28" i="1"/>
  <c r="T29" i="1"/>
  <c r="U29" i="1"/>
  <c r="V29" i="1"/>
  <c r="W29" i="1"/>
  <c r="X29" i="1"/>
  <c r="Y29" i="1"/>
  <c r="Z29" i="1"/>
  <c r="AA29" i="1"/>
  <c r="AB29" i="1"/>
  <c r="AC29" i="1"/>
  <c r="AD29" i="1"/>
  <c r="T33" i="1"/>
  <c r="U33" i="1"/>
  <c r="V33" i="1"/>
  <c r="W33" i="1"/>
  <c r="X33" i="1"/>
  <c r="Y33" i="1"/>
  <c r="Z33" i="1"/>
  <c r="AA33" i="1"/>
  <c r="AB33" i="1"/>
  <c r="AC33" i="1"/>
  <c r="AD33" i="1"/>
  <c r="T34" i="1"/>
  <c r="U34" i="1"/>
  <c r="V34" i="1"/>
  <c r="W34" i="1"/>
  <c r="X34" i="1"/>
  <c r="Y34" i="1"/>
  <c r="Z34" i="1"/>
  <c r="AA34" i="1"/>
  <c r="AB34" i="1"/>
  <c r="AC34" i="1"/>
  <c r="AD34" i="1"/>
  <c r="T35" i="1"/>
  <c r="U35" i="1"/>
  <c r="V35" i="1"/>
  <c r="W35" i="1"/>
  <c r="X35" i="1"/>
  <c r="Y35" i="1"/>
  <c r="Z35" i="1"/>
  <c r="AA35" i="1"/>
  <c r="AB35" i="1"/>
  <c r="AC35" i="1"/>
  <c r="AD35" i="1"/>
  <c r="T36" i="1"/>
  <c r="U36" i="1"/>
  <c r="V36" i="1"/>
  <c r="W36" i="1"/>
  <c r="X36" i="1"/>
  <c r="Y36" i="1"/>
  <c r="Z36" i="1"/>
  <c r="AA36" i="1"/>
  <c r="AB36" i="1"/>
  <c r="AC36" i="1"/>
  <c r="AD36" i="1"/>
  <c r="T41" i="1"/>
  <c r="U41" i="1"/>
  <c r="V41" i="1"/>
  <c r="W41" i="1"/>
  <c r="X41" i="1"/>
  <c r="Y41" i="1"/>
  <c r="Z41" i="1"/>
  <c r="AA41" i="1"/>
  <c r="AB41" i="1"/>
  <c r="AC41" i="1"/>
  <c r="AD41" i="1"/>
  <c r="T42" i="1"/>
  <c r="U42" i="1"/>
  <c r="V42" i="1"/>
  <c r="W42" i="1"/>
  <c r="X42" i="1"/>
  <c r="Y42" i="1"/>
  <c r="Z42" i="1"/>
  <c r="AA42" i="1"/>
  <c r="AB42" i="1"/>
  <c r="AC42" i="1"/>
  <c r="AD42" i="1"/>
  <c r="U44" i="1"/>
  <c r="V44" i="1"/>
  <c r="W44" i="1"/>
  <c r="X44" i="1"/>
  <c r="Y44" i="1"/>
  <c r="Z44" i="1"/>
  <c r="AA44" i="1"/>
  <c r="AB44" i="1"/>
  <c r="AC44" i="1"/>
  <c r="AD44" i="1"/>
  <c r="T45" i="1"/>
  <c r="U45" i="1"/>
  <c r="V45" i="1"/>
  <c r="W45" i="1"/>
  <c r="X45" i="1"/>
  <c r="Y45" i="1"/>
  <c r="Z45" i="1"/>
  <c r="AA45" i="1"/>
  <c r="AB45" i="1"/>
  <c r="AC45" i="1"/>
  <c r="AD45" i="1"/>
  <c r="T46" i="1"/>
  <c r="U46" i="1"/>
  <c r="V46" i="1"/>
  <c r="W46" i="1"/>
  <c r="X46" i="1"/>
  <c r="Y46" i="1"/>
  <c r="Z46" i="1"/>
  <c r="AA46" i="1"/>
  <c r="AB46" i="1"/>
  <c r="AC46" i="1"/>
  <c r="AD46" i="1"/>
  <c r="T47" i="1"/>
  <c r="U47" i="1"/>
  <c r="V47" i="1"/>
  <c r="W47" i="1"/>
  <c r="X47" i="1"/>
  <c r="Y47" i="1"/>
  <c r="Z47" i="1"/>
  <c r="AA47" i="1"/>
  <c r="AB47" i="1"/>
  <c r="AC47" i="1"/>
  <c r="AD47" i="1"/>
  <c r="T49" i="1"/>
  <c r="U49" i="1"/>
  <c r="V49" i="1"/>
  <c r="W49" i="1"/>
  <c r="X49" i="1"/>
  <c r="Y49" i="1"/>
  <c r="Z49" i="1"/>
  <c r="AA49" i="1"/>
  <c r="AB49" i="1"/>
  <c r="AC49" i="1"/>
  <c r="AD49" i="1"/>
  <c r="T50" i="1"/>
  <c r="U50" i="1"/>
  <c r="V50" i="1"/>
  <c r="W50" i="1"/>
  <c r="X50" i="1"/>
  <c r="Y50" i="1"/>
  <c r="Z50" i="1"/>
  <c r="AA50" i="1"/>
  <c r="AB50" i="1"/>
  <c r="AC50" i="1"/>
  <c r="AD50" i="1"/>
  <c r="T51" i="1"/>
  <c r="U51" i="1"/>
  <c r="V51" i="1"/>
  <c r="W51" i="1"/>
  <c r="X51" i="1"/>
  <c r="Y51" i="1"/>
  <c r="Z51" i="1"/>
  <c r="AA51" i="1"/>
  <c r="AB51" i="1"/>
  <c r="AC51" i="1"/>
  <c r="AD51" i="1"/>
  <c r="T52" i="1"/>
  <c r="U52" i="1"/>
  <c r="V52" i="1"/>
  <c r="W52" i="1"/>
  <c r="X52" i="1"/>
  <c r="Y52" i="1"/>
  <c r="Z52" i="1"/>
  <c r="AA52" i="1"/>
  <c r="AB52" i="1"/>
  <c r="AC52" i="1"/>
  <c r="AD52" i="1"/>
  <c r="S5" i="1"/>
  <c r="S6" i="1"/>
  <c r="S7" i="1"/>
  <c r="S8" i="1"/>
  <c r="S9" i="1"/>
  <c r="S10" i="1"/>
  <c r="S11" i="1"/>
  <c r="S12" i="1"/>
  <c r="S13" i="1"/>
  <c r="S16" i="1"/>
  <c r="S17" i="1"/>
  <c r="S18" i="1"/>
  <c r="S21" i="1"/>
  <c r="S22" i="1"/>
  <c r="S23" i="1"/>
  <c r="S27" i="1"/>
  <c r="S28" i="1"/>
  <c r="S29" i="1"/>
  <c r="S33" i="1"/>
  <c r="S34" i="1"/>
  <c r="S35" i="1"/>
  <c r="S36" i="1"/>
  <c r="S41" i="1"/>
  <c r="S42" i="1"/>
  <c r="S44" i="1"/>
  <c r="S45" i="1"/>
  <c r="S46" i="1"/>
  <c r="S47" i="1"/>
  <c r="S49" i="1"/>
  <c r="S50" i="1"/>
  <c r="S51" i="1"/>
  <c r="S52" i="1"/>
  <c r="T3" i="1"/>
  <c r="U3" i="1"/>
  <c r="V3" i="1"/>
  <c r="W3" i="1"/>
  <c r="X3" i="1"/>
  <c r="Y3" i="1"/>
  <c r="Z3" i="1"/>
  <c r="AA3" i="1"/>
  <c r="AB3" i="1"/>
  <c r="AC3" i="1"/>
  <c r="AD3" i="1"/>
  <c r="S3" i="1"/>
  <c r="P4" i="1"/>
  <c r="P5" i="1"/>
  <c r="P6" i="1"/>
  <c r="Q6" i="1" s="1"/>
  <c r="P7" i="1"/>
  <c r="P8" i="1"/>
  <c r="P9" i="1"/>
  <c r="P10" i="1"/>
  <c r="P11" i="1"/>
  <c r="P12" i="1"/>
  <c r="P13" i="1"/>
  <c r="P16" i="1"/>
  <c r="P17" i="1"/>
  <c r="P18" i="1"/>
  <c r="P21" i="1"/>
  <c r="P22" i="1"/>
  <c r="P23" i="1"/>
  <c r="P27" i="1"/>
  <c r="P28" i="1"/>
  <c r="P29" i="1"/>
  <c r="P33" i="1"/>
  <c r="P34" i="1"/>
  <c r="P35" i="1"/>
  <c r="P36" i="1"/>
  <c r="P41" i="1"/>
  <c r="P42" i="1"/>
  <c r="P44" i="1"/>
  <c r="P45" i="1"/>
  <c r="P46" i="1"/>
  <c r="P47" i="1"/>
  <c r="P49" i="1"/>
  <c r="P50" i="1"/>
  <c r="P51" i="1"/>
  <c r="P52" i="1"/>
  <c r="P3" i="1"/>
  <c r="AC71" i="1" l="1"/>
  <c r="AD72" i="1" s="1"/>
  <c r="Y71" i="1"/>
  <c r="Z72" i="1" s="1"/>
  <c r="M95" i="1"/>
  <c r="I95" i="1"/>
  <c r="AB62" i="1"/>
  <c r="AC63" i="1" s="1"/>
  <c r="P92" i="1"/>
  <c r="P101" i="1" s="1"/>
  <c r="P83" i="1"/>
  <c r="E95" i="1"/>
  <c r="J95" i="1"/>
  <c r="X62" i="1"/>
  <c r="Y63" i="1" s="1"/>
  <c r="T62" i="1"/>
  <c r="U63" i="1" s="1"/>
  <c r="F95" i="1"/>
  <c r="AB65" i="1"/>
  <c r="AC66" i="1" s="1"/>
  <c r="X65" i="1"/>
  <c r="Y66" i="1" s="1"/>
  <c r="D95" i="1"/>
  <c r="AC68" i="1"/>
  <c r="AD69" i="1" s="1"/>
  <c r="AB80" i="1"/>
  <c r="AC81" i="1" s="1"/>
  <c r="X80" i="1"/>
  <c r="Y81" i="1" s="1"/>
  <c r="T80" i="1"/>
  <c r="U81" i="1" s="1"/>
  <c r="AB77" i="1"/>
  <c r="AC78" i="1" s="1"/>
  <c r="X77" i="1"/>
  <c r="Y78" i="1" s="1"/>
  <c r="T77" i="1"/>
  <c r="U78" i="1" s="1"/>
  <c r="AC74" i="1"/>
  <c r="AD75" i="1" s="1"/>
  <c r="Y74" i="1"/>
  <c r="Z75" i="1" s="1"/>
  <c r="U74" i="1"/>
  <c r="V75" i="1" s="1"/>
  <c r="U71" i="1"/>
  <c r="V72" i="1" s="1"/>
  <c r="AD71" i="1"/>
  <c r="Z71" i="1"/>
  <c r="AA72" i="1" s="1"/>
  <c r="V71" i="1"/>
  <c r="W72" i="1" s="1"/>
  <c r="AA68" i="1"/>
  <c r="AB69" i="1" s="1"/>
  <c r="W68" i="1"/>
  <c r="X69" i="1" s="1"/>
  <c r="H95" i="1"/>
  <c r="AD65" i="1"/>
  <c r="T65" i="1"/>
  <c r="U66" i="1" s="1"/>
  <c r="AC62" i="1"/>
  <c r="AD63" i="1" s="1"/>
  <c r="Y62" i="1"/>
  <c r="Z63" i="1" s="1"/>
  <c r="U62" i="1"/>
  <c r="V63" i="1" s="1"/>
  <c r="Y59" i="1"/>
  <c r="Z60" i="1" s="1"/>
  <c r="U59" i="1"/>
  <c r="V60" i="1" s="1"/>
  <c r="AC56" i="1"/>
  <c r="AD57" i="1" s="1"/>
  <c r="Y56" i="1"/>
  <c r="Z57" i="1" s="1"/>
  <c r="U56" i="1"/>
  <c r="V57" i="1" s="1"/>
  <c r="L95" i="1"/>
  <c r="Q5" i="1"/>
  <c r="H98" i="1"/>
  <c r="K95" i="1"/>
  <c r="P90" i="1"/>
  <c r="P99" i="1" s="1"/>
  <c r="G95" i="1"/>
  <c r="AD77" i="1"/>
  <c r="AC77" i="1"/>
  <c r="AD78" i="1" s="1"/>
  <c r="AD68" i="1"/>
  <c r="Z68" i="1"/>
  <c r="AA69" i="1" s="1"/>
  <c r="Z62" i="1"/>
  <c r="AA63" i="1" s="1"/>
  <c r="V62" i="1"/>
  <c r="W63" i="1" s="1"/>
  <c r="AD59" i="1"/>
  <c r="Z59" i="1"/>
  <c r="AA60" i="1" s="1"/>
  <c r="V59" i="1"/>
  <c r="W60" i="1" s="1"/>
  <c r="Z56" i="1"/>
  <c r="AA57" i="1" s="1"/>
  <c r="V56" i="1"/>
  <c r="W57" i="1" s="1"/>
  <c r="AD80" i="1"/>
  <c r="AC80" i="1"/>
  <c r="AD81" i="1" s="1"/>
  <c r="AD74" i="1"/>
  <c r="AC65" i="1"/>
  <c r="AD66" i="1" s="1"/>
  <c r="AD62" i="1"/>
  <c r="AC59" i="1"/>
  <c r="AD60" i="1" s="1"/>
  <c r="AD56" i="1"/>
  <c r="P89" i="1"/>
  <c r="P98" i="1" s="1"/>
  <c r="N98" i="1"/>
  <c r="P91" i="1"/>
  <c r="P100" i="1" s="1"/>
  <c r="O100" i="1"/>
  <c r="O95" i="1"/>
  <c r="P93" i="1"/>
  <c r="AE51" i="1"/>
  <c r="AE46" i="1"/>
  <c r="AE23" i="1"/>
  <c r="AE11" i="1"/>
  <c r="AE7" i="1"/>
  <c r="P30" i="1"/>
  <c r="P26" i="1"/>
  <c r="AB59" i="1"/>
  <c r="AC60" i="1" s="1"/>
  <c r="X59" i="1"/>
  <c r="Y60" i="1" s="1"/>
  <c r="T59" i="1"/>
  <c r="U60" i="1" s="1"/>
  <c r="AB56" i="1"/>
  <c r="AC57" i="1" s="1"/>
  <c r="X56" i="1"/>
  <c r="Y57" i="1" s="1"/>
  <c r="T56" i="1"/>
  <c r="U57" i="1" s="1"/>
  <c r="AA62" i="1"/>
  <c r="AB63" i="1" s="1"/>
  <c r="W62" i="1"/>
  <c r="X63" i="1" s="1"/>
  <c r="AA59" i="1"/>
  <c r="AB60" i="1" s="1"/>
  <c r="W59" i="1"/>
  <c r="X60" i="1" s="1"/>
  <c r="AA56" i="1"/>
  <c r="AB57" i="1" s="1"/>
  <c r="W56" i="1"/>
  <c r="X57" i="1" s="1"/>
  <c r="P53" i="1"/>
  <c r="P20" i="1"/>
  <c r="AE50" i="1"/>
  <c r="S81" i="1"/>
  <c r="S80" i="1"/>
  <c r="S78" i="1"/>
  <c r="S77" i="1"/>
  <c r="AE22" i="1"/>
  <c r="S69" i="1"/>
  <c r="S68" i="1"/>
  <c r="AA80" i="1"/>
  <c r="AB81" i="1" s="1"/>
  <c r="W80" i="1"/>
  <c r="X81" i="1" s="1"/>
  <c r="AA77" i="1"/>
  <c r="AB78" i="1" s="1"/>
  <c r="W77" i="1"/>
  <c r="X78" i="1" s="1"/>
  <c r="AE41" i="1"/>
  <c r="AB74" i="1"/>
  <c r="AC75" i="1" s="1"/>
  <c r="X74" i="1"/>
  <c r="Y75" i="1" s="1"/>
  <c r="T74" i="1"/>
  <c r="U75" i="1" s="1"/>
  <c r="AE33" i="1"/>
  <c r="AE29" i="1"/>
  <c r="V68" i="1"/>
  <c r="W69" i="1" s="1"/>
  <c r="AA65" i="1"/>
  <c r="AB66" i="1" s="1"/>
  <c r="AE17" i="1"/>
  <c r="W65" i="1"/>
  <c r="X66" i="1" s="1"/>
  <c r="P24" i="1"/>
  <c r="Q13" i="1"/>
  <c r="Q12" i="1"/>
  <c r="AE49" i="1"/>
  <c r="AE44" i="1"/>
  <c r="AE35" i="1"/>
  <c r="AE28" i="1"/>
  <c r="S72" i="1"/>
  <c r="S71" i="1"/>
  <c r="AE21" i="1"/>
  <c r="Z80" i="1"/>
  <c r="AA81" i="1" s="1"/>
  <c r="V80" i="1"/>
  <c r="W81" i="1" s="1"/>
  <c r="Z77" i="1"/>
  <c r="AA78" i="1" s="1"/>
  <c r="AE45" i="1"/>
  <c r="V77" i="1"/>
  <c r="W78" i="1" s="1"/>
  <c r="AE36" i="1"/>
  <c r="AA74" i="1"/>
  <c r="AB75" i="1" s="1"/>
  <c r="W74" i="1"/>
  <c r="X75" i="1" s="1"/>
  <c r="AB71" i="1"/>
  <c r="AC72" i="1" s="1"/>
  <c r="X71" i="1"/>
  <c r="Y72" i="1" s="1"/>
  <c r="T71" i="1"/>
  <c r="U72" i="1" s="1"/>
  <c r="Y68" i="1"/>
  <c r="Z69" i="1" s="1"/>
  <c r="U68" i="1"/>
  <c r="V69" i="1" s="1"/>
  <c r="Z65" i="1"/>
  <c r="AA66" i="1" s="1"/>
  <c r="V65" i="1"/>
  <c r="W66" i="1" s="1"/>
  <c r="AE16" i="1"/>
  <c r="Q23" i="1"/>
  <c r="Q22" i="1"/>
  <c r="R86" i="1" s="1"/>
  <c r="S66" i="1"/>
  <c r="S65" i="1"/>
  <c r="P38" i="1"/>
  <c r="AE52" i="1"/>
  <c r="AE47" i="1"/>
  <c r="AE42" i="1"/>
  <c r="AE34" i="1"/>
  <c r="S75" i="1"/>
  <c r="S74" i="1"/>
  <c r="AE27" i="1"/>
  <c r="AE18" i="1"/>
  <c r="S63" i="1"/>
  <c r="S62" i="1"/>
  <c r="S59" i="1"/>
  <c r="S60" i="1"/>
  <c r="S57" i="1"/>
  <c r="S56" i="1"/>
  <c r="Y80" i="1"/>
  <c r="Z81" i="1" s="1"/>
  <c r="U80" i="1"/>
  <c r="V81" i="1" s="1"/>
  <c r="Y77" i="1"/>
  <c r="Z78" i="1" s="1"/>
  <c r="U77" i="1"/>
  <c r="V78" i="1" s="1"/>
  <c r="Z74" i="1"/>
  <c r="AA75" i="1" s="1"/>
  <c r="V74" i="1"/>
  <c r="W75" i="1" s="1"/>
  <c r="AA71" i="1"/>
  <c r="AB72" i="1" s="1"/>
  <c r="W71" i="1"/>
  <c r="X72" i="1" s="1"/>
  <c r="AB68" i="1"/>
  <c r="AC69" i="1" s="1"/>
  <c r="X68" i="1"/>
  <c r="Y69" i="1" s="1"/>
  <c r="T68" i="1"/>
  <c r="U69" i="1" s="1"/>
  <c r="Y65" i="1"/>
  <c r="Z66" i="1" s="1"/>
  <c r="U65" i="1"/>
  <c r="V66" i="1" s="1"/>
  <c r="P32" i="1"/>
  <c r="P37" i="1"/>
  <c r="P43" i="1"/>
  <c r="AE10" i="1"/>
  <c r="AE6" i="1"/>
  <c r="P48" i="1"/>
  <c r="AE13" i="1"/>
  <c r="AE9" i="1"/>
  <c r="AE5" i="1"/>
  <c r="AE3" i="1"/>
  <c r="AE12" i="1"/>
  <c r="AE8" i="1"/>
  <c r="AE4" i="1"/>
  <c r="P39" i="1"/>
  <c r="P40" i="1"/>
  <c r="P31" i="1"/>
  <c r="P25" i="1"/>
  <c r="P19" i="1"/>
  <c r="R64" i="1" l="1"/>
  <c r="Z64" i="1" s="1"/>
  <c r="R73" i="1"/>
  <c r="AD73" i="1" s="1"/>
  <c r="R70" i="1"/>
  <c r="AC70" i="1" s="1"/>
  <c r="R61" i="1"/>
  <c r="W61" i="1" s="1"/>
  <c r="R58" i="1"/>
  <c r="AB58" i="1" s="1"/>
  <c r="P95" i="1"/>
  <c r="N95" i="1"/>
  <c r="P102" i="1"/>
  <c r="R79" i="1"/>
  <c r="AD79" i="1" s="1"/>
  <c r="R76" i="1"/>
  <c r="AC76" i="1" s="1"/>
  <c r="AC92" i="1" s="1"/>
  <c r="AC101" i="1" s="1"/>
  <c r="T60" i="1"/>
  <c r="AE60" i="1" s="1"/>
  <c r="AE59" i="1"/>
  <c r="T66" i="1"/>
  <c r="AE66" i="1" s="1"/>
  <c r="AE65" i="1"/>
  <c r="R84" i="1"/>
  <c r="AE80" i="1"/>
  <c r="T81" i="1"/>
  <c r="AE81" i="1" s="1"/>
  <c r="AE56" i="1"/>
  <c r="T57" i="1"/>
  <c r="AE57" i="1" s="1"/>
  <c r="AE62" i="1"/>
  <c r="T63" i="1"/>
  <c r="AE63" i="1" s="1"/>
  <c r="AE74" i="1"/>
  <c r="T75" i="1"/>
  <c r="AE75" i="1" s="1"/>
  <c r="AE71" i="1"/>
  <c r="T72" i="1"/>
  <c r="AE72" i="1" s="1"/>
  <c r="R85" i="1"/>
  <c r="R67" i="1"/>
  <c r="AE77" i="1"/>
  <c r="T78" i="1"/>
  <c r="AE78" i="1" s="1"/>
  <c r="R82" i="1"/>
  <c r="AE68" i="1"/>
  <c r="T69" i="1"/>
  <c r="AE69" i="1" s="1"/>
  <c r="AA64" i="1" l="1"/>
  <c r="W64" i="1"/>
  <c r="S64" i="1"/>
  <c r="V64" i="1"/>
  <c r="U64" i="1"/>
  <c r="Y64" i="1"/>
  <c r="AD64" i="1"/>
  <c r="AB64" i="1"/>
  <c r="AB70" i="1"/>
  <c r="X64" i="1"/>
  <c r="T64" i="1"/>
  <c r="AD70" i="1"/>
  <c r="AC64" i="1"/>
  <c r="U73" i="1"/>
  <c r="T73" i="1"/>
  <c r="Y73" i="1"/>
  <c r="X73" i="1"/>
  <c r="S73" i="1"/>
  <c r="Z73" i="1"/>
  <c r="V61" i="1"/>
  <c r="U61" i="1"/>
  <c r="V58" i="1"/>
  <c r="W70" i="1"/>
  <c r="AA70" i="1"/>
  <c r="Z70" i="1"/>
  <c r="V70" i="1"/>
  <c r="X58" i="1"/>
  <c r="AA58" i="1"/>
  <c r="U58" i="1"/>
  <c r="AC58" i="1"/>
  <c r="T58" i="1"/>
  <c r="AD58" i="1"/>
  <c r="Y61" i="1"/>
  <c r="Z58" i="1"/>
  <c r="S58" i="1"/>
  <c r="Z61" i="1"/>
  <c r="G96" i="1"/>
  <c r="K96" i="1"/>
  <c r="O96" i="1"/>
  <c r="L96" i="1"/>
  <c r="E96" i="1"/>
  <c r="I96" i="1"/>
  <c r="M96" i="1"/>
  <c r="F96" i="1"/>
  <c r="N96" i="1"/>
  <c r="H96" i="1"/>
  <c r="J96" i="1"/>
  <c r="D96" i="1"/>
  <c r="AC73" i="1"/>
  <c r="AA73" i="1"/>
  <c r="V73" i="1"/>
  <c r="AB73" i="1"/>
  <c r="W73" i="1"/>
  <c r="T70" i="1"/>
  <c r="Y70" i="1"/>
  <c r="X70" i="1"/>
  <c r="S70" i="1"/>
  <c r="U70" i="1"/>
  <c r="X61" i="1"/>
  <c r="AC61" i="1"/>
  <c r="AD61" i="1"/>
  <c r="S61" i="1"/>
  <c r="AA61" i="1"/>
  <c r="T61" i="1"/>
  <c r="AB61" i="1"/>
  <c r="W58" i="1"/>
  <c r="Y58" i="1"/>
  <c r="Y79" i="1"/>
  <c r="AA79" i="1"/>
  <c r="AC79" i="1"/>
  <c r="AB79" i="1"/>
  <c r="V79" i="1"/>
  <c r="U79" i="1"/>
  <c r="T79" i="1"/>
  <c r="V76" i="1"/>
  <c r="V92" i="1" s="1"/>
  <c r="V101" i="1" s="1"/>
  <c r="S79" i="1"/>
  <c r="Z79" i="1"/>
  <c r="X79" i="1"/>
  <c r="W79" i="1"/>
  <c r="S76" i="1"/>
  <c r="S92" i="1" s="1"/>
  <c r="T76" i="1"/>
  <c r="T92" i="1" s="1"/>
  <c r="T101" i="1" s="1"/>
  <c r="Y76" i="1"/>
  <c r="Y92" i="1" s="1"/>
  <c r="Y101" i="1" s="1"/>
  <c r="AB76" i="1"/>
  <c r="AB92" i="1" s="1"/>
  <c r="AB101" i="1" s="1"/>
  <c r="AA76" i="1"/>
  <c r="AA92" i="1" s="1"/>
  <c r="AA101" i="1" s="1"/>
  <c r="U76" i="1"/>
  <c r="U92" i="1" s="1"/>
  <c r="U101" i="1" s="1"/>
  <c r="X76" i="1"/>
  <c r="X92" i="1" s="1"/>
  <c r="X101" i="1" s="1"/>
  <c r="W76" i="1"/>
  <c r="W92" i="1" s="1"/>
  <c r="W101" i="1" s="1"/>
  <c r="Z76" i="1"/>
  <c r="Z92" i="1" s="1"/>
  <c r="Z101" i="1" s="1"/>
  <c r="AD76" i="1"/>
  <c r="AD92" i="1" s="1"/>
  <c r="AD101" i="1" s="1"/>
  <c r="V82" i="1"/>
  <c r="Z82" i="1"/>
  <c r="S82" i="1"/>
  <c r="S93" i="1" s="1"/>
  <c r="S102" i="1" s="1"/>
  <c r="U82" i="1"/>
  <c r="W82" i="1"/>
  <c r="AA82" i="1"/>
  <c r="T82" i="1"/>
  <c r="Y82" i="1"/>
  <c r="AC82" i="1"/>
  <c r="X82" i="1"/>
  <c r="AB82" i="1"/>
  <c r="AD82" i="1"/>
  <c r="AD93" i="1" s="1"/>
  <c r="AD102" i="1" s="1"/>
  <c r="V85" i="1"/>
  <c r="Z85" i="1"/>
  <c r="AD85" i="1"/>
  <c r="S85" i="1"/>
  <c r="W85" i="1"/>
  <c r="AA85" i="1"/>
  <c r="U85" i="1"/>
  <c r="AC85" i="1"/>
  <c r="T85" i="1"/>
  <c r="X85" i="1"/>
  <c r="AB85" i="1"/>
  <c r="Y85" i="1"/>
  <c r="V67" i="1"/>
  <c r="Z67" i="1"/>
  <c r="S67" i="1"/>
  <c r="W67" i="1"/>
  <c r="AA67" i="1"/>
  <c r="T67" i="1"/>
  <c r="AC67" i="1"/>
  <c r="X67" i="1"/>
  <c r="AB67" i="1"/>
  <c r="AD67" i="1"/>
  <c r="U67" i="1"/>
  <c r="Y67" i="1"/>
  <c r="U84" i="1"/>
  <c r="Y84" i="1"/>
  <c r="AC84" i="1"/>
  <c r="T84" i="1"/>
  <c r="V84" i="1"/>
  <c r="Z84" i="1"/>
  <c r="AD84" i="1"/>
  <c r="AB84" i="1"/>
  <c r="W84" i="1"/>
  <c r="AA84" i="1"/>
  <c r="S84" i="1"/>
  <c r="X84" i="1"/>
  <c r="W86" i="1"/>
  <c r="AA86" i="1"/>
  <c r="V86" i="1"/>
  <c r="T86" i="1"/>
  <c r="X86" i="1"/>
  <c r="AB86" i="1"/>
  <c r="S86" i="1"/>
  <c r="Z86" i="1"/>
  <c r="U86" i="1"/>
  <c r="Y86" i="1"/>
  <c r="AC86" i="1"/>
  <c r="AD86" i="1"/>
  <c r="AD91" i="1" s="1"/>
  <c r="AD100" i="1" s="1"/>
  <c r="AE64" i="1" l="1"/>
  <c r="U91" i="1"/>
  <c r="U100" i="1" s="1"/>
  <c r="T91" i="1"/>
  <c r="T100" i="1" s="1"/>
  <c r="AD89" i="1"/>
  <c r="AD98" i="1" s="1"/>
  <c r="AC91" i="1"/>
  <c r="AC100" i="1" s="1"/>
  <c r="Z91" i="1"/>
  <c r="Z100" i="1" s="1"/>
  <c r="V89" i="1"/>
  <c r="V98" i="1" s="1"/>
  <c r="AA91" i="1"/>
  <c r="AA100" i="1" s="1"/>
  <c r="AE58" i="1"/>
  <c r="U89" i="1"/>
  <c r="U98" i="1" s="1"/>
  <c r="AB89" i="1"/>
  <c r="AB98" i="1" s="1"/>
  <c r="W89" i="1"/>
  <c r="W98" i="1" s="1"/>
  <c r="V91" i="1"/>
  <c r="V100" i="1" s="1"/>
  <c r="AC89" i="1"/>
  <c r="AC98" i="1" s="1"/>
  <c r="X89" i="1"/>
  <c r="X98" i="1" s="1"/>
  <c r="AA89" i="1"/>
  <c r="AA98" i="1" s="1"/>
  <c r="Z89" i="1"/>
  <c r="Z98" i="1" s="1"/>
  <c r="T93" i="1"/>
  <c r="T102" i="1" s="1"/>
  <c r="P96" i="1"/>
  <c r="S100" i="1"/>
  <c r="AE70" i="1"/>
  <c r="W91" i="1"/>
  <c r="W100" i="1" s="1"/>
  <c r="AE73" i="1"/>
  <c r="Y91" i="1"/>
  <c r="Y100" i="1" s="1"/>
  <c r="Y89" i="1"/>
  <c r="Y98" i="1" s="1"/>
  <c r="AA93" i="1"/>
  <c r="AA102" i="1" s="1"/>
  <c r="V93" i="1"/>
  <c r="V102" i="1" s="1"/>
  <c r="Y93" i="1"/>
  <c r="Y102" i="1" s="1"/>
  <c r="AB91" i="1"/>
  <c r="AB100" i="1" s="1"/>
  <c r="X91" i="1"/>
  <c r="X100" i="1" s="1"/>
  <c r="S89" i="1"/>
  <c r="S98" i="1" s="1"/>
  <c r="AE61" i="1"/>
  <c r="T89" i="1"/>
  <c r="T98" i="1" s="1"/>
  <c r="AB93" i="1"/>
  <c r="AB102" i="1" s="1"/>
  <c r="U93" i="1"/>
  <c r="U102" i="1" s="1"/>
  <c r="AC93" i="1"/>
  <c r="AC102" i="1" s="1"/>
  <c r="Z93" i="1"/>
  <c r="Z102" i="1" s="1"/>
  <c r="W93" i="1"/>
  <c r="W102" i="1" s="1"/>
  <c r="X93" i="1"/>
  <c r="X102" i="1" s="1"/>
  <c r="AE79" i="1"/>
  <c r="S101" i="1"/>
  <c r="AE92" i="1"/>
  <c r="AE76" i="1"/>
  <c r="AE86" i="1"/>
  <c r="AE84" i="1"/>
  <c r="AE82" i="1"/>
  <c r="AE85" i="1"/>
  <c r="AE67" i="1"/>
  <c r="AE89" i="1" l="1"/>
  <c r="AF89" i="1" s="1"/>
  <c r="AE91" i="1"/>
  <c r="AE101" i="1"/>
  <c r="AE93" i="1"/>
  <c r="AE102" i="1" s="1"/>
  <c r="AE100" i="1" l="1"/>
  <c r="AE98" i="1"/>
  <c r="AE15" i="1" l="1"/>
  <c r="AE14" i="1"/>
  <c r="Z90" i="1"/>
  <c r="Z99" i="1" s="1"/>
  <c r="AC90" i="1"/>
  <c r="AC99" i="1" s="1"/>
  <c r="V90" i="1"/>
  <c r="V95" i="1" s="1"/>
  <c r="T90" i="1"/>
  <c r="T99" i="1" s="1"/>
  <c r="Y90" i="1"/>
  <c r="Y99" i="1" s="1"/>
  <c r="W90" i="1"/>
  <c r="W95" i="1" s="1"/>
  <c r="AB90" i="1"/>
  <c r="AB99" i="1" s="1"/>
  <c r="X90" i="1"/>
  <c r="X99" i="1" s="1"/>
  <c r="P15" i="1"/>
  <c r="U90" i="1"/>
  <c r="U99" i="1" s="1"/>
  <c r="AD90" i="1"/>
  <c r="AD99" i="1" s="1"/>
  <c r="AA90" i="1"/>
  <c r="AA99" i="1" s="1"/>
  <c r="P14" i="1"/>
  <c r="S90" i="1"/>
  <c r="S95" i="1" s="1"/>
  <c r="AA95" i="1" l="1"/>
  <c r="AC95" i="1"/>
  <c r="AD95" i="1"/>
  <c r="V99" i="1"/>
  <c r="U95" i="1"/>
  <c r="AB95" i="1"/>
  <c r="T95" i="1"/>
  <c r="Y95" i="1"/>
  <c r="W99" i="1"/>
  <c r="S99" i="1"/>
  <c r="X95" i="1"/>
  <c r="Z95" i="1"/>
  <c r="AE90" i="1"/>
  <c r="AE95" i="1" l="1"/>
  <c r="AF95" i="1"/>
  <c r="AE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8" authorId="0" shapeId="0" xr:uid="{0BE1F062-0EAB-4D7A-8693-56CFB95E46F6}">
      <text>
        <r>
          <rPr>
            <sz val="9"/>
            <color indexed="81"/>
            <rFont val="Tahoma"/>
            <family val="2"/>
          </rPr>
          <t xml:space="preserve">
Bill correction</t>
        </r>
      </text>
    </comment>
  </commentList>
</comments>
</file>

<file path=xl/sharedStrings.xml><?xml version="1.0" encoding="utf-8"?>
<sst xmlns="http://schemas.openxmlformats.org/spreadsheetml/2006/main" count="362" uniqueCount="197">
  <si>
    <t>WA Electric Normalized Revenue Calculation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</si>
  <si>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</si>
  <si>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</si>
  <si>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</si>
  <si>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</si>
  <si>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</si>
  <si>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</si>
  <si>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</si>
  <si>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</si>
  <si>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</si>
  <si>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</si>
  <si>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</si>
  <si>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</si>
  <si>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</si>
  <si>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Bills</t>
  </si>
  <si>
    <t>Block 1 kWhs</t>
  </si>
  <si>
    <t>Block 2 kWhs</t>
  </si>
  <si>
    <t>Block 3 kWhs</t>
  </si>
  <si>
    <t>Charges</t>
  </si>
  <si>
    <t>Block 2 Demand</t>
  </si>
  <si>
    <t>Power Factor</t>
  </si>
  <si>
    <t>Primary Voltage Disc.</t>
  </si>
  <si>
    <t>Prim. Voltage Disc. &gt;11</t>
  </si>
  <si>
    <t>Prim. Voltage Disc. &gt;60</t>
  </si>
  <si>
    <t>Prim. Voltage Disc. &gt;115</t>
  </si>
  <si>
    <t>Net Unbilled Usage</t>
  </si>
  <si>
    <t>Unbilled Usage</t>
  </si>
  <si>
    <t>Unbilled Reversal</t>
  </si>
  <si>
    <t>Weather Usage Adjustment</t>
  </si>
  <si>
    <t>WS</t>
  </si>
  <si>
    <t>monthly calculation</t>
  </si>
  <si>
    <t>deduct prior month</t>
  </si>
  <si>
    <t>Street and Area Lights per books</t>
  </si>
  <si>
    <t>annual average rate calc</t>
  </si>
  <si>
    <t>Sch 1</t>
  </si>
  <si>
    <t>Sch 2</t>
  </si>
  <si>
    <t>Sch 11</t>
  </si>
  <si>
    <t>Sch 12</t>
  </si>
  <si>
    <t>Sch 21</t>
  </si>
  <si>
    <t>Sch 22</t>
  </si>
  <si>
    <t>Sch 25</t>
  </si>
  <si>
    <t>Sch 31</t>
  </si>
  <si>
    <t>Sch 32</t>
  </si>
  <si>
    <t xml:space="preserve">Sch 21 </t>
  </si>
  <si>
    <t>Sch 30</t>
  </si>
  <si>
    <t>Normalized Revenue</t>
  </si>
  <si>
    <t>Schedule 01/02</t>
  </si>
  <si>
    <t>Schedule 11/12</t>
  </si>
  <si>
    <t>Schedule 21/22</t>
  </si>
  <si>
    <t>Schedule 25</t>
  </si>
  <si>
    <t>Schedule 30/31/32</t>
  </si>
  <si>
    <t>Street and Area Lights</t>
  </si>
  <si>
    <t>Total Washington</t>
  </si>
  <si>
    <t>kWh Usage</t>
  </si>
  <si>
    <t>Customer Average</t>
  </si>
  <si>
    <t>Use per Customer</t>
  </si>
  <si>
    <t>Revenue per Customer</t>
  </si>
  <si>
    <t>Res</t>
  </si>
  <si>
    <t>Non-Res</t>
  </si>
  <si>
    <t>Excluded</t>
  </si>
  <si>
    <t>Schedule 11</t>
  </si>
  <si>
    <t>Block 2 Demand Revenue</t>
  </si>
  <si>
    <t>Block 2 Demand Rate</t>
  </si>
  <si>
    <t>Demand, PF and PVD Calc Support</t>
  </si>
  <si>
    <t>Power Factor Revenue</t>
  </si>
  <si>
    <t>Power Factor Rate</t>
  </si>
  <si>
    <t>Schedule 12</t>
  </si>
  <si>
    <t>Schedule 21</t>
  </si>
  <si>
    <t>Prim. Volt. Disc. Revenue</t>
  </si>
  <si>
    <t>Prim. Volt. Disc. Rate</t>
  </si>
  <si>
    <t>Schedule 22</t>
  </si>
  <si>
    <t>Prim. Volt. Disc. &gt;11 Revenue</t>
  </si>
  <si>
    <t>Prim. Volt. Disc. &gt;11 Rate</t>
  </si>
  <si>
    <t>Prim. Volt. Disc. &gt;60 Revenue</t>
  </si>
  <si>
    <t>Prim. Volt. Disc. &gt;60 Rate</t>
  </si>
  <si>
    <t>Prim. Volt. Disc. &gt;115 Revenue</t>
  </si>
  <si>
    <t>Prim. Volt. Disc. &gt;115 Rate</t>
  </si>
  <si>
    <t>Schedule 31</t>
  </si>
  <si>
    <t>Schedule 32</t>
  </si>
  <si>
    <t>Schedule 30</t>
  </si>
  <si>
    <t>Washington Schedule 25 Billing Determinants</t>
  </si>
  <si>
    <t>1st</t>
  </si>
  <si>
    <t>12-mo Ended</t>
  </si>
  <si>
    <t>KWHs</t>
  </si>
  <si>
    <t>SA Account ID</t>
  </si>
  <si>
    <t>new SA</t>
  </si>
  <si>
    <t>old account</t>
  </si>
  <si>
    <t>kwhs/mo</t>
  </si>
  <si>
    <t>Goodrich - North 2311008572</t>
  </si>
  <si>
    <t>2317650000</t>
  </si>
  <si>
    <t>2311008572</t>
  </si>
  <si>
    <t>Goodrich - South 2311155858 (No PVD)</t>
  </si>
  <si>
    <t>new Sept 2017</t>
  </si>
  <si>
    <t>Boise Cascade LLC Inland Region</t>
  </si>
  <si>
    <t>7600430000</t>
  </si>
  <si>
    <t>transferred from schedule 21 Nov 2017</t>
  </si>
  <si>
    <t>Boise Cascade Plywood</t>
  </si>
  <si>
    <t>8927100000</t>
  </si>
  <si>
    <t>8920023327</t>
  </si>
  <si>
    <t>Boise Cascade Sawmill</t>
  </si>
  <si>
    <t>9927100000</t>
  </si>
  <si>
    <t>9920023116</t>
  </si>
  <si>
    <t>City of Spokane</t>
  </si>
  <si>
    <t>8972300000</t>
  </si>
  <si>
    <t>8970099313</t>
  </si>
  <si>
    <t>Empire Health Services</t>
  </si>
  <si>
    <t>0082300000</t>
  </si>
  <si>
    <t>0080095044</t>
  </si>
  <si>
    <t>Gonzaga University</t>
  </si>
  <si>
    <t>1423850000</t>
  </si>
  <si>
    <t>1420028876</t>
  </si>
  <si>
    <t>Honeywell Electronics</t>
  </si>
  <si>
    <t>0177400000</t>
  </si>
  <si>
    <t>0170122152</t>
  </si>
  <si>
    <t>Huntwood Industries</t>
  </si>
  <si>
    <t>8649170000</t>
  </si>
  <si>
    <t>8640841982</t>
  </si>
  <si>
    <t>Inland Empire Paper</t>
  </si>
  <si>
    <t>0166400000</t>
  </si>
  <si>
    <t>0160126924</t>
  </si>
  <si>
    <t>Simplot - Othello</t>
  </si>
  <si>
    <t>4258610000</t>
  </si>
  <si>
    <t>4250473907</t>
  </si>
  <si>
    <t>McCaine Foods Inc</t>
  </si>
  <si>
    <t>9066400000</t>
  </si>
  <si>
    <t>9060132009</t>
  </si>
  <si>
    <t>Sacred Heart Medical Center</t>
  </si>
  <si>
    <t>0037100000</t>
  </si>
  <si>
    <t>0030019644</t>
  </si>
  <si>
    <t>Spokane County Combined Master</t>
  </si>
  <si>
    <t>1082300000</t>
  </si>
  <si>
    <t>1080099801</t>
  </si>
  <si>
    <t>Spokane Industries</t>
  </si>
  <si>
    <t>0078160000</t>
  </si>
  <si>
    <t>0070121063</t>
  </si>
  <si>
    <t>Triumph Composite</t>
  </si>
  <si>
    <t>2261550000</t>
  </si>
  <si>
    <t>2260946595</t>
  </si>
  <si>
    <t>Vaagen Brothers Lumber</t>
  </si>
  <si>
    <t>2478200000</t>
  </si>
  <si>
    <t>2470070232</t>
  </si>
  <si>
    <t xml:space="preserve">WSU - MP-A South Campus Feeder </t>
  </si>
  <si>
    <t>3731710000</t>
  </si>
  <si>
    <t>3730460787</t>
  </si>
  <si>
    <t xml:space="preserve">WSU - MP-B East Campus EA </t>
  </si>
  <si>
    <t>6037100000</t>
  </si>
  <si>
    <t>6030021572</t>
  </si>
  <si>
    <t xml:space="preserve">WSU - MP-C East Campus EB </t>
  </si>
  <si>
    <t>6100220000</t>
  </si>
  <si>
    <t>6100609210</t>
  </si>
  <si>
    <t>WSU - MP -D Casp East (no PVD)</t>
  </si>
  <si>
    <t>5037100000</t>
  </si>
  <si>
    <t>5030019646</t>
  </si>
  <si>
    <t>WSU - MP-E Casp West (no PVD)</t>
  </si>
  <si>
    <t>6365350762</t>
  </si>
  <si>
    <t>7030024549</t>
  </si>
  <si>
    <t>Schedule 25 Total</t>
  </si>
  <si>
    <t>MP-E changed account ID</t>
  </si>
  <si>
    <t>Revenue Run Total</t>
  </si>
  <si>
    <t>Gross Booked Unbilled</t>
  </si>
  <si>
    <t>Booked Unbilled Reversal</t>
  </si>
  <si>
    <t>Gross Unbilled True-up</t>
  </si>
  <si>
    <t>Unbilled Reversal True-up</t>
  </si>
  <si>
    <t>Adj Revenue Runs, Sch 25</t>
  </si>
  <si>
    <t>KVA</t>
  </si>
  <si>
    <t>Peak</t>
  </si>
  <si>
    <t>Month</t>
  </si>
  <si>
    <t>KVA in excess of 3,000</t>
  </si>
  <si>
    <t>9 KWHs</t>
  </si>
  <si>
    <t>60kV</t>
  </si>
  <si>
    <t>60 kV</t>
  </si>
  <si>
    <t>4.16kV</t>
  </si>
  <si>
    <t>4.16 kV</t>
  </si>
  <si>
    <t>115kV</t>
  </si>
  <si>
    <t>115 kV</t>
  </si>
  <si>
    <t>9 Total</t>
  </si>
  <si>
    <t>9 KVA</t>
  </si>
  <si>
    <t>*9</t>
  </si>
  <si>
    <t>Class Peak</t>
  </si>
  <si>
    <t>Calc Revenue for 9</t>
  </si>
  <si>
    <t>Revenue for 9 per Handbill Report</t>
  </si>
  <si>
    <t>Primary Voltage Discount</t>
  </si>
  <si>
    <t>&gt;11 and &lt;60</t>
  </si>
  <si>
    <t>&gt;60 and &lt;115</t>
  </si>
  <si>
    <t>&gt;115</t>
  </si>
  <si>
    <t>Total Block 3 kWhs</t>
  </si>
  <si>
    <t>Total Block 2 kWhs</t>
  </si>
  <si>
    <t>Total Block 1 kWhs</t>
  </si>
  <si>
    <t>Total kWhs</t>
  </si>
  <si>
    <t>Primary Voltage Discount 11kV</t>
  </si>
  <si>
    <t>kVA</t>
  </si>
  <si>
    <t>Primary Voltage Discount 60kV</t>
  </si>
  <si>
    <t>Primary Voltage Discount 115kV</t>
  </si>
  <si>
    <t xml:space="preserve">Calendar Books </t>
  </si>
  <si>
    <t>Version with Customer Names and Account Numbers is Confidential</t>
  </si>
  <si>
    <t>Billed Rev</t>
  </si>
  <si>
    <t>4/1/2021 Billing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</si>
</sst>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_);_(* \(#,##0\);_(* &quot;-&quot;??_);_(@_)"/>
    <numFmt numFmtId="167" formatCode="&quot;$&quot;#,##0"/>
    <numFmt numFmtId="168" formatCode="&quot;Over&quot;"/>
    <numFmt numFmtId="169" formatCode="mmm\ yy"/>
    <numFmt numFmtId="170" formatCode="#,##0;;"/>
    <numFmt numFmtId="171" formatCode="#,##0;\-#,##0;"/>
    <numFmt numFmtId="172" formatCode="[$-409]mmm/yy;@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0"/>
      <color indexed="39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BF19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>
      <alignment readingOrder="1"/>
    </xf>
    <xf numFmtId="0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6" fontId="0" fillId="0" borderId="0" xfId="0" applyNumberFormat="1"/>
    <xf numFmtId="167" fontId="0" fillId="0" borderId="1" xfId="0" applyNumberFormat="1" applyBorder="1"/>
    <xf numFmtId="166" fontId="0" fillId="0" borderId="1" xfId="1" applyNumberFormat="1" applyFont="1" applyBorder="1"/>
    <xf numFmtId="43" fontId="0" fillId="0" borderId="0" xfId="1" applyFont="1" applyAlignment="1">
      <alignment horizontal="right"/>
    </xf>
    <xf numFmtId="166" fontId="2" fillId="0" borderId="0" xfId="1" applyNumberFormat="1" applyFont="1" applyFill="1"/>
    <xf numFmtId="167" fontId="2" fillId="0" borderId="0" xfId="0" applyNumberFormat="1" applyFont="1" applyFill="1"/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1" xfId="1" applyNumberFormat="1" applyFont="1" applyFill="1" applyBorder="1"/>
    <xf numFmtId="43" fontId="0" fillId="0" borderId="0" xfId="1" applyFont="1" applyFill="1" applyAlignment="1">
      <alignment horizontal="right"/>
    </xf>
    <xf numFmtId="167" fontId="0" fillId="0" borderId="0" xfId="0" applyNumberFormat="1" applyFill="1"/>
    <xf numFmtId="167" fontId="0" fillId="0" borderId="1" xfId="0" applyNumberFormat="1" applyFill="1" applyBorder="1"/>
    <xf numFmtId="166" fontId="0" fillId="0" borderId="0" xfId="1" applyNumberFormat="1" applyFont="1" applyFill="1" applyBorder="1"/>
    <xf numFmtId="44" fontId="0" fillId="0" borderId="0" xfId="2" applyFont="1"/>
    <xf numFmtId="44" fontId="2" fillId="0" borderId="0" xfId="2" applyFont="1" applyFill="1"/>
    <xf numFmtId="44" fontId="4" fillId="0" borderId="0" xfId="2" applyFont="1"/>
    <xf numFmtId="44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0" fontId="6" fillId="0" borderId="0" xfId="4" applyFont="1"/>
    <xf numFmtId="0" fontId="5" fillId="0" borderId="0" xfId="4"/>
    <xf numFmtId="0" fontId="7" fillId="0" borderId="0" xfId="4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5" fillId="0" borderId="0" xfId="4" applyAlignment="1">
      <alignment horizontal="center"/>
    </xf>
    <xf numFmtId="3" fontId="8" fillId="0" borderId="0" xfId="4" applyNumberFormat="1" applyFont="1" applyAlignment="1">
      <alignment horizontal="center"/>
    </xf>
    <xf numFmtId="168" fontId="8" fillId="0" borderId="0" xfId="4" applyNumberFormat="1" applyFont="1" applyAlignment="1">
      <alignment horizontal="center"/>
    </xf>
    <xf numFmtId="0" fontId="7" fillId="0" borderId="0" xfId="4" applyFont="1"/>
    <xf numFmtId="0" fontId="9" fillId="0" borderId="0" xfId="4" applyFont="1"/>
    <xf numFmtId="0" fontId="5" fillId="0" borderId="0" xfId="4" applyFont="1"/>
    <xf numFmtId="169" fontId="5" fillId="0" borderId="0" xfId="4" applyNumberFormat="1" applyAlignment="1">
      <alignment horizontal="center"/>
    </xf>
    <xf numFmtId="169" fontId="5" fillId="0" borderId="0" xfId="4" applyNumberFormat="1" applyBorder="1" applyAlignment="1">
      <alignment horizontal="center"/>
    </xf>
    <xf numFmtId="3" fontId="10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1" fillId="0" borderId="0" xfId="4" quotePrefix="1" applyFont="1" applyAlignment="1">
      <alignment horizontal="left"/>
    </xf>
    <xf numFmtId="0" fontId="5" fillId="0" borderId="0" xfId="4" applyFont="1" applyAlignment="1">
      <alignment horizontal="left"/>
    </xf>
    <xf numFmtId="166" fontId="12" fillId="0" borderId="0" xfId="5" applyNumberFormat="1" applyFont="1" applyFill="1"/>
    <xf numFmtId="166" fontId="5" fillId="0" borderId="0" xfId="6" applyNumberFormat="1"/>
    <xf numFmtId="170" fontId="5" fillId="0" borderId="0" xfId="4" applyNumberFormat="1"/>
    <xf numFmtId="166" fontId="11" fillId="0" borderId="2" xfId="6" applyNumberFormat="1" applyFont="1" applyFill="1" applyBorder="1"/>
    <xf numFmtId="166" fontId="11" fillId="0" borderId="0" xfId="6" applyNumberFormat="1" applyFont="1" applyFill="1" applyBorder="1"/>
    <xf numFmtId="0" fontId="5" fillId="0" borderId="0" xfId="4" applyFill="1"/>
    <xf numFmtId="0" fontId="11" fillId="0" borderId="0" xfId="4" applyFont="1" applyFill="1" applyAlignment="1">
      <alignment horizontal="left"/>
    </xf>
    <xf numFmtId="0" fontId="11" fillId="0" borderId="0" xfId="4" quotePrefix="1" applyFont="1" applyFill="1" applyAlignment="1">
      <alignment horizontal="left"/>
    </xf>
    <xf numFmtId="0" fontId="5" fillId="0" borderId="0" xfId="4" applyFont="1" applyFill="1" applyAlignment="1">
      <alignment horizontal="left"/>
    </xf>
    <xf numFmtId="166" fontId="5" fillId="0" borderId="0" xfId="6" applyNumberFormat="1" applyFill="1"/>
    <xf numFmtId="170" fontId="5" fillId="0" borderId="0" xfId="4" applyNumberFormat="1" applyFill="1"/>
    <xf numFmtId="166" fontId="5" fillId="0" borderId="1" xfId="6" applyNumberFormat="1" applyFont="1" applyFill="1" applyBorder="1"/>
    <xf numFmtId="166" fontId="5" fillId="0" borderId="3" xfId="6" applyNumberFormat="1" applyFont="1" applyFill="1" applyBorder="1"/>
    <xf numFmtId="166" fontId="5" fillId="0" borderId="4" xfId="6" applyNumberFormat="1" applyFont="1" applyFill="1" applyBorder="1"/>
    <xf numFmtId="3" fontId="5" fillId="0" borderId="1" xfId="6" applyNumberFormat="1" applyFont="1" applyFill="1" applyBorder="1"/>
    <xf numFmtId="0" fontId="5" fillId="0" borderId="0" xfId="4" applyBorder="1"/>
    <xf numFmtId="0" fontId="5" fillId="0" borderId="2" xfId="4" applyBorder="1"/>
    <xf numFmtId="43" fontId="5" fillId="0" borderId="0" xfId="4" applyNumberFormat="1"/>
    <xf numFmtId="3" fontId="5" fillId="0" borderId="0" xfId="4" applyNumberFormat="1"/>
    <xf numFmtId="166" fontId="11" fillId="0" borderId="0" xfId="5" applyNumberFormat="1" applyFont="1" applyFill="1" applyBorder="1"/>
    <xf numFmtId="166" fontId="11" fillId="0" borderId="2" xfId="5" applyNumberFormat="1" applyFont="1" applyFill="1" applyBorder="1"/>
    <xf numFmtId="0" fontId="5" fillId="0" borderId="0" xfId="4" applyFont="1" applyAlignment="1"/>
    <xf numFmtId="0" fontId="5" fillId="0" borderId="0" xfId="4" applyAlignment="1"/>
    <xf numFmtId="0" fontId="5" fillId="0" borderId="0" xfId="4" applyAlignment="1">
      <alignment horizontal="left" indent="1"/>
    </xf>
    <xf numFmtId="166" fontId="5" fillId="0" borderId="4" xfId="6" applyNumberFormat="1" applyBorder="1"/>
    <xf numFmtId="171" fontId="5" fillId="0" borderId="0" xfId="4" applyNumberFormat="1" applyFill="1"/>
    <xf numFmtId="171" fontId="5" fillId="0" borderId="0" xfId="4" applyNumberFormat="1" applyBorder="1"/>
    <xf numFmtId="171" fontId="5" fillId="0" borderId="2" xfId="4" applyNumberFormat="1" applyBorder="1"/>
    <xf numFmtId="171" fontId="5" fillId="0" borderId="0" xfId="4" applyNumberFormat="1"/>
    <xf numFmtId="0" fontId="5" fillId="0" borderId="0" xfId="4" applyAlignment="1">
      <alignment vertical="justify"/>
    </xf>
    <xf numFmtId="0" fontId="5" fillId="0" borderId="0" xfId="4" applyFill="1" applyAlignment="1">
      <alignment vertical="justify"/>
    </xf>
    <xf numFmtId="0" fontId="5" fillId="0" borderId="0" xfId="4" applyBorder="1" applyAlignment="1">
      <alignment vertical="justify"/>
    </xf>
    <xf numFmtId="166" fontId="5" fillId="0" borderId="2" xfId="4" applyNumberFormat="1" applyBorder="1" applyAlignment="1">
      <alignment horizontal="centerContinuous" vertical="justify"/>
    </xf>
    <xf numFmtId="5" fontId="5" fillId="0" borderId="0" xfId="4" applyNumberFormat="1"/>
    <xf numFmtId="169" fontId="5" fillId="0" borderId="0" xfId="4" applyNumberFormat="1" applyFill="1" applyAlignment="1">
      <alignment horizontal="center"/>
    </xf>
    <xf numFmtId="169" fontId="5" fillId="0" borderId="2" xfId="4" applyNumberFormat="1" applyBorder="1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center"/>
    </xf>
    <xf numFmtId="166" fontId="5" fillId="0" borderId="0" xfId="4" applyNumberFormat="1"/>
    <xf numFmtId="172" fontId="5" fillId="0" borderId="0" xfId="4" applyNumberFormat="1" applyAlignment="1">
      <alignment horizontal="center"/>
    </xf>
    <xf numFmtId="166" fontId="5" fillId="0" borderId="1" xfId="4" applyNumberFormat="1" applyFill="1" applyBorder="1"/>
    <xf numFmtId="166" fontId="5" fillId="0" borderId="1" xfId="4" applyNumberFormat="1" applyBorder="1"/>
    <xf numFmtId="166" fontId="5" fillId="0" borderId="3" xfId="4" applyNumberFormat="1" applyBorder="1"/>
    <xf numFmtId="166" fontId="5" fillId="0" borderId="0" xfId="4" applyNumberFormat="1" applyFill="1" applyBorder="1"/>
    <xf numFmtId="166" fontId="5" fillId="0" borderId="0" xfId="4" applyNumberFormat="1" applyBorder="1"/>
    <xf numFmtId="166" fontId="5" fillId="0" borderId="2" xfId="4" applyNumberFormat="1" applyBorder="1"/>
    <xf numFmtId="166" fontId="5" fillId="0" borderId="0" xfId="6" applyNumberFormat="1" applyFill="1" applyBorder="1"/>
    <xf numFmtId="166" fontId="5" fillId="0" borderId="2" xfId="6" applyNumberFormat="1" applyFill="1" applyBorder="1"/>
    <xf numFmtId="0" fontId="5" fillId="0" borderId="0" xfId="4" applyAlignment="1">
      <alignment horizontal="left"/>
    </xf>
    <xf numFmtId="166" fontId="5" fillId="0" borderId="1" xfId="6" applyNumberFormat="1" applyFill="1" applyBorder="1"/>
    <xf numFmtId="166" fontId="5" fillId="0" borderId="1" xfId="6" applyNumberFormat="1" applyBorder="1"/>
    <xf numFmtId="166" fontId="5" fillId="0" borderId="3" xfId="6" applyNumberFormat="1" applyBorder="1"/>
    <xf numFmtId="166" fontId="5" fillId="0" borderId="0" xfId="6" applyNumberFormat="1" applyBorder="1"/>
    <xf numFmtId="166" fontId="5" fillId="0" borderId="2" xfId="6" applyNumberFormat="1" applyBorder="1"/>
    <xf numFmtId="166" fontId="13" fillId="4" borderId="0" xfId="5" applyNumberFormat="1" applyFont="1" applyFill="1"/>
    <xf numFmtId="166" fontId="13" fillId="4" borderId="0" xfId="6" applyNumberFormat="1" applyFont="1" applyFill="1" applyBorder="1"/>
    <xf numFmtId="166" fontId="13" fillId="4" borderId="2" xfId="6" applyNumberFormat="1" applyFont="1" applyFill="1" applyBorder="1"/>
    <xf numFmtId="166" fontId="5" fillId="4" borderId="0" xfId="6" applyNumberFormat="1" applyFont="1" applyFill="1"/>
    <xf numFmtId="166" fontId="13" fillId="3" borderId="0" xfId="5" applyNumberFormat="1" applyFont="1" applyFill="1"/>
    <xf numFmtId="166" fontId="13" fillId="5" borderId="0" xfId="5" applyNumberFormat="1" applyFont="1" applyFill="1"/>
    <xf numFmtId="166" fontId="13" fillId="5" borderId="0" xfId="6" applyNumberFormat="1" applyFont="1" applyFill="1" applyBorder="1"/>
    <xf numFmtId="166" fontId="13" fillId="5" borderId="2" xfId="6" applyNumberFormat="1" applyFont="1" applyFill="1" applyBorder="1"/>
    <xf numFmtId="166" fontId="5" fillId="5" borderId="0" xfId="6" applyNumberFormat="1" applyFont="1" applyFill="1"/>
    <xf numFmtId="166" fontId="5" fillId="0" borderId="0" xfId="4" applyNumberFormat="1" applyFill="1"/>
    <xf numFmtId="166" fontId="5" fillId="0" borderId="0" xfId="6" applyNumberFormat="1" applyFont="1" applyFill="1" applyBorder="1"/>
    <xf numFmtId="166" fontId="5" fillId="0" borderId="2" xfId="6" applyNumberFormat="1" applyFont="1" applyFill="1" applyBorder="1"/>
    <xf numFmtId="0" fontId="5" fillId="0" borderId="0" xfId="7" applyFont="1"/>
    <xf numFmtId="166" fontId="5" fillId="2" borderId="0" xfId="6" applyNumberFormat="1" applyFont="1" applyFill="1" applyBorder="1"/>
    <xf numFmtId="166" fontId="5" fillId="2" borderId="2" xfId="6" applyNumberFormat="1" applyFont="1" applyFill="1" applyBorder="1"/>
    <xf numFmtId="173" fontId="5" fillId="0" borderId="0" xfId="8" applyNumberFormat="1" applyFont="1" applyFill="1"/>
    <xf numFmtId="173" fontId="5" fillId="0" borderId="0" xfId="9" applyNumberFormat="1" applyFont="1" applyFill="1"/>
    <xf numFmtId="173" fontId="5" fillId="0" borderId="0" xfId="9" applyNumberFormat="1" applyFont="1" applyFill="1" applyBorder="1"/>
    <xf numFmtId="173" fontId="5" fillId="0" borderId="2" xfId="9" applyNumberFormat="1" applyFont="1" applyFill="1" applyBorder="1"/>
    <xf numFmtId="173" fontId="5" fillId="0" borderId="0" xfId="9" applyNumberFormat="1"/>
    <xf numFmtId="166" fontId="13" fillId="0" borderId="0" xfId="10" applyNumberFormat="1" applyFont="1"/>
    <xf numFmtId="166" fontId="13" fillId="0" borderId="0" xfId="6" applyNumberFormat="1" applyFont="1" applyFill="1"/>
    <xf numFmtId="166" fontId="13" fillId="0" borderId="0" xfId="6" applyNumberFormat="1" applyFont="1" applyBorder="1"/>
    <xf numFmtId="166" fontId="13" fillId="0" borderId="2" xfId="6" applyNumberFormat="1" applyFont="1" applyBorder="1"/>
    <xf numFmtId="166" fontId="5" fillId="0" borderId="0" xfId="6" applyNumberFormat="1" applyFont="1" applyFill="1"/>
    <xf numFmtId="166" fontId="5" fillId="0" borderId="0" xfId="6" applyNumberFormat="1" applyFont="1" applyBorder="1"/>
    <xf numFmtId="166" fontId="5" fillId="0" borderId="2" xfId="6" applyNumberFormat="1" applyFont="1" applyBorder="1"/>
    <xf numFmtId="4" fontId="13" fillId="0" borderId="0" xfId="4" applyNumberFormat="1" applyFont="1"/>
    <xf numFmtId="43" fontId="5" fillId="0" borderId="0" xfId="6" applyFill="1"/>
    <xf numFmtId="43" fontId="5" fillId="0" borderId="0" xfId="6" applyFill="1" applyBorder="1"/>
    <xf numFmtId="43" fontId="5" fillId="0" borderId="2" xfId="6" applyFill="1" applyBorder="1"/>
    <xf numFmtId="43" fontId="5" fillId="0" borderId="0" xfId="6" applyFont="1"/>
    <xf numFmtId="4" fontId="13" fillId="0" borderId="0" xfId="4" applyNumberFormat="1" applyFont="1" applyFill="1"/>
    <xf numFmtId="43" fontId="5" fillId="0" borderId="0" xfId="6" applyBorder="1"/>
    <xf numFmtId="43" fontId="5" fillId="0" borderId="2" xfId="6" applyBorder="1"/>
    <xf numFmtId="43" fontId="5" fillId="0" borderId="1" xfId="4" applyNumberFormat="1" applyFill="1" applyBorder="1"/>
    <xf numFmtId="43" fontId="5" fillId="0" borderId="1" xfId="4" applyNumberFormat="1" applyBorder="1"/>
    <xf numFmtId="43" fontId="5" fillId="0" borderId="3" xfId="4" applyNumberFormat="1" applyBorder="1"/>
    <xf numFmtId="0" fontId="5" fillId="0" borderId="0" xfId="4" applyFill="1" applyBorder="1"/>
    <xf numFmtId="0" fontId="5" fillId="0" borderId="2" xfId="4" applyFill="1" applyBorder="1"/>
    <xf numFmtId="0" fontId="15" fillId="0" borderId="0" xfId="4" applyFont="1"/>
    <xf numFmtId="0" fontId="15" fillId="0" borderId="0" xfId="4" applyFont="1" applyAlignment="1">
      <alignment horizontal="left"/>
    </xf>
    <xf numFmtId="166" fontId="5" fillId="0" borderId="5" xfId="6" applyNumberFormat="1" applyBorder="1"/>
    <xf numFmtId="166" fontId="5" fillId="0" borderId="6" xfId="6" applyNumberFormat="1" applyFont="1" applyFill="1" applyBorder="1"/>
    <xf numFmtId="166" fontId="5" fillId="0" borderId="7" xfId="6" applyNumberFormat="1" applyBorder="1"/>
    <xf numFmtId="166" fontId="4" fillId="0" borderId="0" xfId="1" applyNumberFormat="1" applyFont="1"/>
    <xf numFmtId="44" fontId="4" fillId="0" borderId="0" xfId="2" applyFont="1" applyFill="1"/>
    <xf numFmtId="44" fontId="0" fillId="0" borderId="0" xfId="0" applyNumberFormat="1" applyFill="1"/>
    <xf numFmtId="0" fontId="0" fillId="6" borderId="0" xfId="0" applyFill="1"/>
    <xf numFmtId="165" fontId="0" fillId="6" borderId="0" xfId="0" applyNumberFormat="1" applyFill="1"/>
    <xf numFmtId="164" fontId="0" fillId="6" borderId="0" xfId="0" applyNumberFormat="1" applyFill="1" applyAlignment="1">
      <alignment horizontal="right"/>
    </xf>
    <xf numFmtId="173" fontId="2" fillId="0" borderId="0" xfId="2" applyNumberFormat="1" applyFont="1" applyFill="1"/>
    <xf numFmtId="166" fontId="4" fillId="0" borderId="1" xfId="1" applyNumberFormat="1" applyFont="1" applyBorder="1"/>
    <xf numFmtId="166" fontId="4" fillId="0" borderId="8" xfId="1" applyNumberFormat="1" applyFont="1" applyBorder="1"/>
    <xf numFmtId="166" fontId="5" fillId="0" borderId="0" xfId="4" applyNumberFormat="1" applyFont="1" applyAlignment="1"/>
    <xf numFmtId="164" fontId="2" fillId="6" borderId="0" xfId="0" applyNumberFormat="1" applyFont="1" applyFill="1"/>
    <xf numFmtId="165" fontId="2" fillId="6" borderId="0" xfId="0" applyNumberFormat="1" applyFont="1" applyFill="1"/>
    <xf numFmtId="166" fontId="12" fillId="7" borderId="0" xfId="5" applyNumberFormat="1" applyFont="1" applyFill="1"/>
    <xf numFmtId="166" fontId="13" fillId="0" borderId="0" xfId="5" applyNumberFormat="1" applyFont="1" applyFill="1"/>
    <xf numFmtId="166" fontId="14" fillId="0" borderId="0" xfId="6" applyNumberFormat="1" applyFont="1" applyFill="1" applyBorder="1"/>
    <xf numFmtId="166" fontId="14" fillId="0" borderId="2" xfId="6" applyNumberFormat="1" applyFont="1" applyFill="1" applyBorder="1"/>
    <xf numFmtId="0" fontId="5" fillId="8" borderId="0" xfId="4" applyFont="1" applyFill="1"/>
    <xf numFmtId="166" fontId="5" fillId="8" borderId="0" xfId="6" applyNumberFormat="1" applyFill="1"/>
    <xf numFmtId="166" fontId="5" fillId="8" borderId="0" xfId="6" applyNumberFormat="1" applyFill="1" applyBorder="1"/>
    <xf numFmtId="166" fontId="5" fillId="8" borderId="2" xfId="6" applyNumberFormat="1" applyFill="1" applyBorder="1"/>
    <xf numFmtId="0" fontId="11" fillId="8" borderId="0" xfId="4" applyFont="1" applyFill="1"/>
    <xf numFmtId="0" fontId="11" fillId="8" borderId="0" xfId="4" applyFont="1" applyFill="1" applyAlignment="1">
      <alignment horizontal="center"/>
    </xf>
    <xf numFmtId="0" fontId="11" fillId="8" borderId="0" xfId="4" applyFont="1" applyFill="1" applyAlignment="1">
      <alignment horizontal="left"/>
    </xf>
    <xf numFmtId="166" fontId="12" fillId="8" borderId="0" xfId="5" applyNumberFormat="1" applyFont="1" applyFill="1"/>
    <xf numFmtId="166" fontId="5" fillId="8" borderId="0" xfId="4" applyNumberFormat="1" applyFill="1"/>
    <xf numFmtId="172" fontId="5" fillId="8" borderId="0" xfId="4" applyNumberFormat="1" applyFill="1" applyAlignment="1">
      <alignment horizontal="center"/>
    </xf>
    <xf numFmtId="0" fontId="5" fillId="8" borderId="0" xfId="4" applyFill="1" applyAlignment="1">
      <alignment horizontal="center"/>
    </xf>
    <xf numFmtId="44" fontId="0" fillId="0" borderId="0" xfId="2" applyFont="1" applyFill="1"/>
    <xf numFmtId="166" fontId="5" fillId="0" borderId="0" xfId="5" applyNumberFormat="1" applyFont="1" applyFill="1"/>
    <xf numFmtId="166" fontId="5" fillId="0" borderId="0" xfId="5" applyNumberFormat="1" applyFont="1" applyFill="1" applyBorder="1"/>
    <xf numFmtId="166" fontId="5" fillId="0" borderId="2" xfId="5" applyNumberFormat="1" applyFont="1" applyFill="1" applyBorder="1"/>
  </cellXfs>
  <cellStyles count="20">
    <cellStyle name="Comma" xfId="1" builtinId="3"/>
    <cellStyle name="Comma 10 2" xfId="10" xr:uid="{00000000-0005-0000-0000-000001000000}"/>
    <cellStyle name="Comma 2 10 2" xfId="5" xr:uid="{00000000-0005-0000-0000-000002000000}"/>
    <cellStyle name="Comma 2 2" xfId="6" xr:uid="{00000000-0005-0000-0000-000003000000}"/>
    <cellStyle name="Comma 3 10 7" xfId="16" xr:uid="{00000000-0005-0000-0000-000004000000}"/>
    <cellStyle name="Comma 3 31" xfId="14" xr:uid="{00000000-0005-0000-0000-000005000000}"/>
    <cellStyle name="Comma 3 32" xfId="17" xr:uid="{00000000-0005-0000-0000-000006000000}"/>
    <cellStyle name="Comma 3 33" xfId="15" xr:uid="{00000000-0005-0000-0000-000007000000}"/>
    <cellStyle name="Comma 3 36" xfId="19" xr:uid="{00000000-0005-0000-0000-000008000000}"/>
    <cellStyle name="Comma 3 37" xfId="18" xr:uid="{00000000-0005-0000-0000-000009000000}"/>
    <cellStyle name="Currency" xfId="2" builtinId="4"/>
    <cellStyle name="Currency 2 10" xfId="8" xr:uid="{00000000-0005-0000-0000-00000B000000}"/>
    <cellStyle name="Currency 3 3 11" xfId="9" xr:uid="{00000000-0005-0000-0000-00000C000000}"/>
    <cellStyle name="Normal" xfId="0" builtinId="0"/>
    <cellStyle name="Normal 16 7" xfId="13" xr:uid="{00000000-0005-0000-0000-00000E000000}"/>
    <cellStyle name="Normal 2" xfId="4" xr:uid="{00000000-0005-0000-0000-00000F000000}"/>
    <cellStyle name="Normal 3 2 7" xfId="7" xr:uid="{00000000-0005-0000-0000-000010000000}"/>
    <cellStyle name="Normal 3 31" xfId="12" xr:uid="{00000000-0005-0000-0000-000011000000}"/>
    <cellStyle name="Normal 59 2" xfId="11" xr:uid="{00000000-0005-0000-0000-000012000000}"/>
    <cellStyle name="Percent" xfId="3" builtinId="5"/>
  </cellStyles>
  <dxfs count="3"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%20-%20Revenue%20&amp;%20Gas%20Cost/WA%20Elec%20Revenue%20-%20Rev%20Ad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Demand%2012CP%2009.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2012-12%20CBR/Adjustments/Weather%20Normalization/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WA DemEst"/>
      <sheetName val="ID DemEst"/>
      <sheetName val="PT Ratio"/>
      <sheetName val="Electric Factors "/>
      <sheetName val="2014 Daylight"/>
      <sheetName val="2015 Daylight"/>
      <sheetName val="Load Shape"/>
      <sheetName val="Notes"/>
      <sheetName val="WA Sch 25 (09.2015)"/>
      <sheetName val="ID Sch 25 (09.2015)"/>
      <sheetName val="09.2015 WA Usage"/>
      <sheetName val="09.2015 ID Usage"/>
      <sheetName val="Losses"/>
      <sheetName val="2014 WA Usage"/>
      <sheetName val="2014 ID Usage"/>
      <sheetName val="WA Sch 25"/>
      <sheetName val="ID Sch 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0" refreshError="1"/>
      <sheetData sheetId="11"/>
      <sheetData sheetId="12"/>
      <sheetData sheetId="13" refreshError="1"/>
      <sheetData sheetId="14" refreshError="1"/>
      <sheetData sheetId="15">
        <row r="43">
          <cell r="H43">
            <v>6.2E-2</v>
          </cell>
        </row>
        <row r="44">
          <cell r="H44">
            <v>4.5999999999999999E-2</v>
          </cell>
        </row>
        <row r="45">
          <cell r="H45">
            <v>0.03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3"/>
  <sheetViews>
    <sheetView workbookViewId="0">
      <pane xSplit="5" ySplit="3" topLeftCell="F61" activePane="bottomRight" state="frozen"/>
      <selection pane="topRight" activeCell="F1" sqref="F1"/>
      <selection pane="bottomLeft" activeCell="A4" sqref="A4"/>
      <selection pane="bottomRight" activeCell="F93" sqref="F93"/>
    </sheetView>
  </sheetViews>
  <sheetFormatPr defaultColWidth="8.85546875" defaultRowHeight="12.75" x14ac:dyDescent="0.2"/>
  <cols>
    <col min="1" max="1" width="4.5703125" style="26" customWidth="1"/>
    <col min="2" max="2" width="32.7109375" style="26" customWidth="1"/>
    <col min="3" max="3" width="10.7109375" style="26" customWidth="1"/>
    <col min="4" max="4" width="11.5703125" style="26" customWidth="1"/>
    <col min="5" max="5" width="12.5703125" style="26" hidden="1" customWidth="1"/>
    <col min="6" max="6" width="12.5703125" style="26" customWidth="1"/>
    <col min="7" max="7" width="12.7109375" style="26" customWidth="1"/>
    <col min="8" max="8" width="13.28515625" style="26" bestFit="1" customWidth="1"/>
    <col min="9" max="9" width="13.42578125" style="26" bestFit="1" customWidth="1"/>
    <col min="10" max="10" width="12.7109375" style="26" bestFit="1" customWidth="1"/>
    <col min="11" max="13" width="13.42578125" style="26" bestFit="1" customWidth="1"/>
    <col min="14" max="14" width="13.140625" style="26" bestFit="1" customWidth="1"/>
    <col min="15" max="15" width="12.7109375" style="26" bestFit="1" customWidth="1"/>
    <col min="16" max="16" width="13.140625" style="26" bestFit="1" customWidth="1"/>
    <col min="17" max="17" width="12.7109375" style="26" bestFit="1" customWidth="1"/>
    <col min="18" max="18" width="15.7109375" style="26" customWidth="1"/>
    <col min="19" max="19" width="13" style="26" bestFit="1" customWidth="1"/>
    <col min="20" max="20" width="12.7109375" style="26" bestFit="1" customWidth="1"/>
    <col min="21" max="21" width="13.85546875" style="26" customWidth="1"/>
    <col min="22" max="22" width="9.28515625" style="26" bestFit="1" customWidth="1"/>
    <col min="23" max="16384" width="8.85546875" style="26"/>
  </cols>
  <sheetData>
    <row r="1" spans="1:21" ht="15" x14ac:dyDescent="0.25">
      <c r="A1" s="25" t="s">
        <v>80</v>
      </c>
      <c r="S1" s="27" t="s">
        <v>81</v>
      </c>
      <c r="T1" s="28">
        <f>S2</f>
        <v>500000</v>
      </c>
      <c r="U1" s="28">
        <f>T2</f>
        <v>6000000</v>
      </c>
    </row>
    <row r="2" spans="1:21" x14ac:dyDescent="0.2">
      <c r="A2" s="26" t="s">
        <v>194</v>
      </c>
      <c r="R2" s="29" t="s">
        <v>82</v>
      </c>
      <c r="S2" s="30">
        <v>500000</v>
      </c>
      <c r="T2" s="30">
        <v>6000000</v>
      </c>
      <c r="U2" s="31">
        <v>99999999</v>
      </c>
    </row>
    <row r="3" spans="1:21" x14ac:dyDescent="0.2">
      <c r="A3" s="32" t="s">
        <v>83</v>
      </c>
      <c r="B3" s="32"/>
      <c r="C3" s="33" t="s">
        <v>84</v>
      </c>
      <c r="D3" s="34" t="s">
        <v>85</v>
      </c>
      <c r="E3" s="34" t="s">
        <v>86</v>
      </c>
      <c r="F3" s="35">
        <v>43831</v>
      </c>
      <c r="G3" s="35">
        <f>F3+31</f>
        <v>43862</v>
      </c>
      <c r="H3" s="35">
        <f t="shared" ref="H3:M3" si="0">G3+31</f>
        <v>43893</v>
      </c>
      <c r="I3" s="35">
        <f t="shared" si="0"/>
        <v>43924</v>
      </c>
      <c r="J3" s="35">
        <f t="shared" si="0"/>
        <v>43955</v>
      </c>
      <c r="K3" s="35">
        <f t="shared" si="0"/>
        <v>43986</v>
      </c>
      <c r="L3" s="35">
        <f t="shared" si="0"/>
        <v>44017</v>
      </c>
      <c r="M3" s="35">
        <f t="shared" si="0"/>
        <v>44048</v>
      </c>
      <c r="N3" s="35">
        <f>M3+31</f>
        <v>44079</v>
      </c>
      <c r="O3" s="36">
        <f t="shared" ref="O3:Q3" si="1">N3+31</f>
        <v>44110</v>
      </c>
      <c r="P3" s="35">
        <f t="shared" si="1"/>
        <v>44141</v>
      </c>
      <c r="Q3" s="35">
        <f t="shared" si="1"/>
        <v>44172</v>
      </c>
      <c r="R3" s="29" t="s">
        <v>13</v>
      </c>
      <c r="S3" s="37" t="s">
        <v>87</v>
      </c>
      <c r="T3" s="37" t="s">
        <v>87</v>
      </c>
      <c r="U3" s="37" t="s">
        <v>87</v>
      </c>
    </row>
    <row r="4" spans="1:21" x14ac:dyDescent="0.2">
      <c r="A4" s="26">
        <v>1</v>
      </c>
      <c r="B4" s="38" t="s">
        <v>88</v>
      </c>
      <c r="C4" s="39" t="s">
        <v>89</v>
      </c>
      <c r="D4" s="39" t="s">
        <v>90</v>
      </c>
      <c r="E4" s="40">
        <v>770037736</v>
      </c>
      <c r="F4" s="152">
        <v>3586073.4</v>
      </c>
      <c r="G4" s="152">
        <v>3407283.6</v>
      </c>
      <c r="H4" s="152">
        <v>3791932.2</v>
      </c>
      <c r="I4" s="152">
        <v>3661715.4</v>
      </c>
      <c r="J4" s="152">
        <v>988612.8</v>
      </c>
      <c r="K4" s="152">
        <v>1802022.6</v>
      </c>
      <c r="L4" s="152">
        <v>826982.8</v>
      </c>
      <c r="M4" s="152">
        <v>1463454.3</v>
      </c>
      <c r="N4" s="152">
        <v>1399089.3</v>
      </c>
      <c r="O4" s="152">
        <v>2458068.9</v>
      </c>
      <c r="P4" s="152">
        <v>1544554.2</v>
      </c>
      <c r="Q4" s="152">
        <v>1189675.2</v>
      </c>
      <c r="R4" s="42">
        <f t="shared" ref="R4:R24" si="2">SUM(F4:Q4)</f>
        <v>26119464.699999999</v>
      </c>
      <c r="S4" s="43">
        <f>S$2*12-SUMPRODUCT(--($F4:$Q4&lt;=S$2),S$2-$F4:$Q4)</f>
        <v>6000000</v>
      </c>
      <c r="T4" s="43">
        <f>T$2*12-SUM($S4:S4)-SUMPRODUCT(--($F4:$Q4&lt;=T$2),T$2-$F4:$Q4)</f>
        <v>20119464.70000001</v>
      </c>
      <c r="U4" s="43">
        <f>U$2*12-SUM($S4:T4)-SUMPRODUCT(--($F4:$Q4&lt;=U$2),U$2-$F4:$Q4)</f>
        <v>0</v>
      </c>
    </row>
    <row r="5" spans="1:21" x14ac:dyDescent="0.2">
      <c r="A5" s="26">
        <v>2</v>
      </c>
      <c r="B5" s="38" t="s">
        <v>96</v>
      </c>
      <c r="C5" s="39" t="s">
        <v>97</v>
      </c>
      <c r="D5" s="39" t="s">
        <v>98</v>
      </c>
      <c r="E5" s="40">
        <v>500017</v>
      </c>
      <c r="F5" s="152">
        <v>2940046.2</v>
      </c>
      <c r="G5" s="152">
        <v>2915707.2</v>
      </c>
      <c r="H5" s="152">
        <v>3100729.8</v>
      </c>
      <c r="I5" s="152">
        <v>2469108.6</v>
      </c>
      <c r="J5" s="152">
        <v>2935158.8</v>
      </c>
      <c r="K5" s="152">
        <v>2969765.4</v>
      </c>
      <c r="L5" s="152">
        <v>3016612.2</v>
      </c>
      <c r="M5" s="152">
        <v>3000759.3</v>
      </c>
      <c r="N5" s="152">
        <v>2865720.9</v>
      </c>
      <c r="O5" s="152">
        <v>3024031.5</v>
      </c>
      <c r="P5" s="152">
        <v>2843954.4</v>
      </c>
      <c r="Q5" s="152">
        <v>2473554.2999999998</v>
      </c>
      <c r="R5" s="42">
        <f t="shared" si="2"/>
        <v>34555148.599999994</v>
      </c>
      <c r="S5" s="43">
        <f t="shared" ref="S5:S26" si="3">S$2*12-SUMPRODUCT(--($F5:$Q5&lt;=S$2),S$2-$F5:$Q5)</f>
        <v>6000000</v>
      </c>
      <c r="T5" s="43">
        <f>T$2*12-SUM($S5:S5)-SUMPRODUCT(--($F5:$Q5&lt;=T$2),T$2-$F5:$Q5)</f>
        <v>28555148.599999994</v>
      </c>
      <c r="U5" s="43">
        <f>U$2*12-SUM($S5:T5)-SUMPRODUCT(--($F5:$Q5&lt;=U$2),U$2-$F5:$Q5)</f>
        <v>0</v>
      </c>
    </row>
    <row r="6" spans="1:21" x14ac:dyDescent="0.2">
      <c r="A6" s="26">
        <v>3</v>
      </c>
      <c r="B6" s="38" t="s">
        <v>99</v>
      </c>
      <c r="C6" s="39" t="s">
        <v>100</v>
      </c>
      <c r="D6" s="39" t="s">
        <v>101</v>
      </c>
      <c r="E6" s="40">
        <v>500018</v>
      </c>
      <c r="F6" s="152">
        <v>1472472.4</v>
      </c>
      <c r="G6" s="152">
        <v>1272973.8</v>
      </c>
      <c r="H6" s="152">
        <v>1399150.2</v>
      </c>
      <c r="I6" s="152">
        <v>1179442.6000000001</v>
      </c>
      <c r="J6" s="152">
        <v>1207470.6000000001</v>
      </c>
      <c r="K6" s="152">
        <v>1260100.8</v>
      </c>
      <c r="L6" s="152">
        <v>1309015.6329999999</v>
      </c>
      <c r="M6" s="152">
        <v>1243130.7</v>
      </c>
      <c r="N6" s="152">
        <v>1266627.6000000001</v>
      </c>
      <c r="O6" s="152">
        <v>1281416.5</v>
      </c>
      <c r="P6" s="152">
        <v>1231090.7</v>
      </c>
      <c r="Q6" s="152">
        <v>1371597.5</v>
      </c>
      <c r="R6" s="42">
        <f t="shared" si="2"/>
        <v>15494489.032999998</v>
      </c>
      <c r="S6" s="43">
        <f t="shared" si="3"/>
        <v>6000000</v>
      </c>
      <c r="T6" s="43">
        <f>T$2*12-SUM($S6:S6)-SUMPRODUCT(--($F6:$Q6&lt;=T$2),T$2-$F6:$Q6)</f>
        <v>9494489.0330000073</v>
      </c>
      <c r="U6" s="43">
        <f>U$2*12-SUM($S6:T6)-SUMPRODUCT(--($F6:$Q6&lt;=U$2),U$2-$F6:$Q6)</f>
        <v>0</v>
      </c>
    </row>
    <row r="7" spans="1:21" x14ac:dyDescent="0.2">
      <c r="A7" s="26">
        <v>4</v>
      </c>
      <c r="B7" s="38" t="s">
        <v>102</v>
      </c>
      <c r="C7" s="39" t="s">
        <v>103</v>
      </c>
      <c r="D7" s="39" t="s">
        <v>104</v>
      </c>
      <c r="E7" s="40">
        <v>1900002</v>
      </c>
      <c r="F7" s="152">
        <v>1413234.9</v>
      </c>
      <c r="G7" s="152">
        <v>1293047.7</v>
      </c>
      <c r="H7" s="152">
        <v>1361444.7</v>
      </c>
      <c r="I7" s="152">
        <v>1233609.3</v>
      </c>
      <c r="J7" s="152">
        <v>1301325.8999999999</v>
      </c>
      <c r="K7" s="152">
        <v>1237551.3500000001</v>
      </c>
      <c r="L7" s="152">
        <v>1287613.95</v>
      </c>
      <c r="M7" s="152">
        <v>1256569.71</v>
      </c>
      <c r="N7" s="152">
        <v>1217305.95</v>
      </c>
      <c r="O7" s="152">
        <v>1273549.2</v>
      </c>
      <c r="P7" s="152">
        <v>1311429</v>
      </c>
      <c r="Q7" s="152">
        <v>1427570.55</v>
      </c>
      <c r="R7" s="42">
        <f t="shared" si="2"/>
        <v>15614252.209999997</v>
      </c>
      <c r="S7" s="43">
        <f t="shared" si="3"/>
        <v>6000000</v>
      </c>
      <c r="T7" s="43">
        <f>T$2*12-SUM($S7:S7)-SUMPRODUCT(--($F7:$Q7&lt;=T$2),T$2-$F7:$Q7)</f>
        <v>9614252.2100000009</v>
      </c>
      <c r="U7" s="43">
        <f>U$2*12-SUM($S7:T7)-SUMPRODUCT(--($F7:$Q7&lt;=U$2),U$2-$F7:$Q7)</f>
        <v>0</v>
      </c>
    </row>
    <row r="8" spans="1:21" x14ac:dyDescent="0.2">
      <c r="A8" s="26">
        <v>5</v>
      </c>
      <c r="B8" s="38" t="s">
        <v>105</v>
      </c>
      <c r="C8" s="39" t="s">
        <v>106</v>
      </c>
      <c r="D8" s="39" t="s">
        <v>107</v>
      </c>
      <c r="E8" s="40">
        <v>1900011</v>
      </c>
      <c r="F8" s="152">
        <v>1691778.9</v>
      </c>
      <c r="G8" s="152">
        <v>1569222.9</v>
      </c>
      <c r="H8" s="152">
        <v>1626943.5</v>
      </c>
      <c r="I8" s="152">
        <v>1517016.9</v>
      </c>
      <c r="J8" s="152">
        <v>1611987.3</v>
      </c>
      <c r="K8" s="152">
        <v>1778776.65</v>
      </c>
      <c r="L8" s="152">
        <v>1974065.625</v>
      </c>
      <c r="M8" s="152">
        <v>2029075.65</v>
      </c>
      <c r="N8" s="152">
        <v>1785736.05</v>
      </c>
      <c r="O8" s="152">
        <v>1565237.1</v>
      </c>
      <c r="P8" s="152">
        <v>1501969.35</v>
      </c>
      <c r="Q8" s="152">
        <v>1579521.3</v>
      </c>
      <c r="R8" s="42">
        <f t="shared" si="2"/>
        <v>20231331.225000001</v>
      </c>
      <c r="S8" s="43">
        <f t="shared" si="3"/>
        <v>6000000</v>
      </c>
      <c r="T8" s="43">
        <f>T$2*12-SUM($S8:S8)-SUMPRODUCT(--($F8:$Q8&lt;=T$2),T$2-$F8:$Q8)</f>
        <v>14231331.225000001</v>
      </c>
      <c r="U8" s="43">
        <f>U$2*12-SUM($S8:T8)-SUMPRODUCT(--($F8:$Q8&lt;=U$2),U$2-$F8:$Q8)</f>
        <v>0</v>
      </c>
    </row>
    <row r="9" spans="1:21" x14ac:dyDescent="0.2">
      <c r="A9" s="26">
        <v>6</v>
      </c>
      <c r="B9" s="38" t="s">
        <v>108</v>
      </c>
      <c r="C9" s="39" t="s">
        <v>109</v>
      </c>
      <c r="D9" s="39" t="s">
        <v>110</v>
      </c>
      <c r="E9" s="40">
        <v>622922</v>
      </c>
      <c r="F9" s="152">
        <v>2244491.2000000002</v>
      </c>
      <c r="G9" s="152">
        <v>2166466.4</v>
      </c>
      <c r="H9" s="152">
        <v>1790583.2</v>
      </c>
      <c r="I9" s="152">
        <v>1160334</v>
      </c>
      <c r="J9" s="152">
        <v>1055647.6000000001</v>
      </c>
      <c r="K9" s="152">
        <v>1057512.3999999999</v>
      </c>
      <c r="L9" s="152">
        <v>1399259.4</v>
      </c>
      <c r="M9" s="152">
        <v>1849106</v>
      </c>
      <c r="N9" s="152">
        <v>1860702.2</v>
      </c>
      <c r="O9" s="152">
        <v>1943260.2</v>
      </c>
      <c r="P9" s="152">
        <v>1995587.3</v>
      </c>
      <c r="Q9" s="152">
        <v>1999254.6</v>
      </c>
      <c r="R9" s="42">
        <f t="shared" si="2"/>
        <v>20522204.5</v>
      </c>
      <c r="S9" s="43">
        <f t="shared" si="3"/>
        <v>6000000</v>
      </c>
      <c r="T9" s="43">
        <f>T$2*12-SUM($S9:S9)-SUMPRODUCT(--($F9:$Q9&lt;=T$2),T$2-$F9:$Q9)</f>
        <v>14522204.5</v>
      </c>
      <c r="U9" s="43">
        <f>U$2*12-SUM($S9:T9)-SUMPRODUCT(--($F9:$Q9&lt;=U$2),U$2-$F9:$Q9)</f>
        <v>0</v>
      </c>
    </row>
    <row r="10" spans="1:21" x14ac:dyDescent="0.2">
      <c r="A10" s="26">
        <v>7</v>
      </c>
      <c r="B10" s="38" t="s">
        <v>111</v>
      </c>
      <c r="C10" s="39" t="s">
        <v>112</v>
      </c>
      <c r="D10" s="39" t="s">
        <v>113</v>
      </c>
      <c r="E10" s="40">
        <v>2304636</v>
      </c>
      <c r="F10" s="152">
        <v>1248000.6000000001</v>
      </c>
      <c r="G10" s="152">
        <v>1198019.2</v>
      </c>
      <c r="H10" s="152">
        <v>1296447.6000000001</v>
      </c>
      <c r="I10" s="152">
        <v>1298435.6000000001</v>
      </c>
      <c r="J10" s="152">
        <v>1368336.9029999999</v>
      </c>
      <c r="K10" s="152">
        <v>1414515.2</v>
      </c>
      <c r="L10" s="152">
        <v>1498486.5</v>
      </c>
      <c r="M10" s="152">
        <v>1535493.4</v>
      </c>
      <c r="N10" s="152">
        <v>1356700.8</v>
      </c>
      <c r="O10" s="152">
        <v>1313485.6000000001</v>
      </c>
      <c r="P10" s="152">
        <v>1266305.6000000001</v>
      </c>
      <c r="Q10" s="152">
        <v>1310813.7</v>
      </c>
      <c r="R10" s="42">
        <f t="shared" si="2"/>
        <v>16105040.703</v>
      </c>
      <c r="S10" s="43">
        <f t="shared" si="3"/>
        <v>6000000</v>
      </c>
      <c r="T10" s="43">
        <f>T$2*12-SUM($S10:S10)-SUMPRODUCT(--($F10:$Q10&lt;=T$2),T$2-$F10:$Q10)</f>
        <v>10105040.703000002</v>
      </c>
      <c r="U10" s="43">
        <f>U$2*12-SUM($S10:T10)-SUMPRODUCT(--($F10:$Q10&lt;=U$2),U$2-$F10:$Q10)</f>
        <v>0</v>
      </c>
    </row>
    <row r="11" spans="1:21" x14ac:dyDescent="0.2">
      <c r="A11" s="26">
        <v>8</v>
      </c>
      <c r="B11" s="38" t="s">
        <v>114</v>
      </c>
      <c r="C11" s="39" t="s">
        <v>115</v>
      </c>
      <c r="D11" s="39" t="s">
        <v>116</v>
      </c>
      <c r="E11" s="40">
        <v>610074869</v>
      </c>
      <c r="F11" s="152">
        <v>1020831</v>
      </c>
      <c r="G11" s="152">
        <v>959280</v>
      </c>
      <c r="H11" s="152">
        <v>1032910.2</v>
      </c>
      <c r="I11" s="152">
        <v>867615</v>
      </c>
      <c r="J11" s="152">
        <v>882254.1</v>
      </c>
      <c r="K11" s="152">
        <v>985805.1</v>
      </c>
      <c r="L11" s="152">
        <v>1054760.7</v>
      </c>
      <c r="M11" s="152">
        <v>1020049.8</v>
      </c>
      <c r="N11" s="152">
        <v>984223.8</v>
      </c>
      <c r="O11" s="152">
        <v>983448.9</v>
      </c>
      <c r="P11" s="152">
        <v>872745.3</v>
      </c>
      <c r="Q11" s="152">
        <v>973484.4</v>
      </c>
      <c r="R11" s="42">
        <f t="shared" si="2"/>
        <v>11637408.300000001</v>
      </c>
      <c r="S11" s="43">
        <f t="shared" si="3"/>
        <v>6000000</v>
      </c>
      <c r="T11" s="43">
        <f>T$2*12-SUM($S11:S11)-SUMPRODUCT(--($F11:$Q11&lt;=T$2),T$2-$F11:$Q11)</f>
        <v>5637408.2999999896</v>
      </c>
      <c r="U11" s="43">
        <f>U$2*12-SUM($S11:T11)-SUMPRODUCT(--($F11:$Q11&lt;=U$2),U$2-$F11:$Q11)</f>
        <v>0</v>
      </c>
    </row>
    <row r="12" spans="1:21" x14ac:dyDescent="0.2">
      <c r="A12" s="26">
        <v>9</v>
      </c>
      <c r="B12" s="38" t="s">
        <v>117</v>
      </c>
      <c r="C12" s="39" t="s">
        <v>118</v>
      </c>
      <c r="D12" s="39" t="s">
        <v>119</v>
      </c>
      <c r="E12" s="40">
        <v>2500004</v>
      </c>
      <c r="F12" s="152">
        <v>40848350</v>
      </c>
      <c r="G12" s="152">
        <v>32724334</v>
      </c>
      <c r="H12" s="152">
        <v>31040188</v>
      </c>
      <c r="I12" s="152">
        <v>32529148</v>
      </c>
      <c r="J12" s="152">
        <v>33764226</v>
      </c>
      <c r="K12" s="152">
        <v>17662074</v>
      </c>
      <c r="L12" s="152">
        <v>33902478</v>
      </c>
      <c r="M12" s="152">
        <v>40852464</v>
      </c>
      <c r="N12" s="152">
        <v>39406300</v>
      </c>
      <c r="O12" s="152">
        <v>39072646</v>
      </c>
      <c r="P12" s="152">
        <v>37955142</v>
      </c>
      <c r="Q12" s="152">
        <v>39841864</v>
      </c>
      <c r="R12" s="42">
        <f t="shared" si="2"/>
        <v>419599214</v>
      </c>
      <c r="S12" s="43">
        <f t="shared" si="3"/>
        <v>6000000</v>
      </c>
      <c r="T12" s="43">
        <f>T$2*12-SUM($S12:S12)-SUMPRODUCT(--($F12:$Q12&lt;=T$2),T$2-$F12:$Q12)</f>
        <v>66000000</v>
      </c>
      <c r="U12" s="43">
        <f>U$2*12-SUM($S12:T12)-SUMPRODUCT(--($F12:$Q12&lt;=U$2),U$2-$F12:$Q12)</f>
        <v>347599214</v>
      </c>
    </row>
    <row r="13" spans="1:21" x14ac:dyDescent="0.2">
      <c r="A13" s="26">
        <v>10</v>
      </c>
      <c r="B13" s="38" t="s">
        <v>120</v>
      </c>
      <c r="C13" s="39" t="s">
        <v>121</v>
      </c>
      <c r="D13" s="39" t="s">
        <v>122</v>
      </c>
      <c r="E13" s="40">
        <v>290048778</v>
      </c>
      <c r="F13" s="152">
        <v>5444863.2000000002</v>
      </c>
      <c r="G13" s="152">
        <v>4631915.4000000004</v>
      </c>
      <c r="H13" s="152">
        <v>5400066</v>
      </c>
      <c r="I13" s="152">
        <v>3721166.4</v>
      </c>
      <c r="J13" s="152">
        <v>5688826.5</v>
      </c>
      <c r="K13" s="152">
        <v>4955790</v>
      </c>
      <c r="L13" s="152">
        <v>4773430.2</v>
      </c>
      <c r="M13" s="152">
        <v>5739018.5999999996</v>
      </c>
      <c r="N13" s="152">
        <v>5449827.5999999996</v>
      </c>
      <c r="O13" s="152">
        <v>5681671.7999999998</v>
      </c>
      <c r="P13" s="152">
        <v>4277807.0999999996</v>
      </c>
      <c r="Q13" s="152">
        <v>4873619.0999999996</v>
      </c>
      <c r="R13" s="42">
        <f t="shared" si="2"/>
        <v>60638001.900000006</v>
      </c>
      <c r="S13" s="43">
        <f t="shared" si="3"/>
        <v>6000000</v>
      </c>
      <c r="T13" s="43">
        <f>T$2*12-SUM($S13:S13)-SUMPRODUCT(--($F13:$Q13&lt;=T$2),T$2-$F13:$Q13)</f>
        <v>54638001.899999999</v>
      </c>
      <c r="U13" s="43">
        <f>U$2*12-SUM($S13:T13)-SUMPRODUCT(--($F13:$Q13&lt;=U$2),U$2-$F13:$Q13)</f>
        <v>0</v>
      </c>
    </row>
    <row r="14" spans="1:21" x14ac:dyDescent="0.2">
      <c r="A14" s="26">
        <v>11</v>
      </c>
      <c r="B14" s="38" t="s">
        <v>123</v>
      </c>
      <c r="C14" s="39" t="s">
        <v>124</v>
      </c>
      <c r="D14" s="39" t="s">
        <v>125</v>
      </c>
      <c r="E14" s="40">
        <v>2500003</v>
      </c>
      <c r="F14" s="152">
        <v>5412941.7999999998</v>
      </c>
      <c r="G14" s="152">
        <v>4684493.8</v>
      </c>
      <c r="H14" s="152">
        <v>3992480.8</v>
      </c>
      <c r="I14" s="152">
        <f>6866944-3448053</f>
        <v>3418891</v>
      </c>
      <c r="J14" s="152">
        <v>1358147</v>
      </c>
      <c r="K14" s="152">
        <v>5178806.5</v>
      </c>
      <c r="L14" s="152">
        <v>5133640.4000000004</v>
      </c>
      <c r="M14" s="152">
        <v>5583536</v>
      </c>
      <c r="N14" s="152">
        <v>4674387.3119999999</v>
      </c>
      <c r="O14" s="152">
        <v>5108659.2230000002</v>
      </c>
      <c r="P14" s="152">
        <v>4901879.5</v>
      </c>
      <c r="Q14" s="152">
        <v>4318007.4000000004</v>
      </c>
      <c r="R14" s="42">
        <f t="shared" si="2"/>
        <v>53765870.734999992</v>
      </c>
      <c r="S14" s="43">
        <f t="shared" si="3"/>
        <v>6000000</v>
      </c>
      <c r="T14" s="43">
        <f>T$2*12-SUM($S14:S14)-SUMPRODUCT(--($F14:$Q14&lt;=T$2),T$2-$F14:$Q14)</f>
        <v>47765870.734999999</v>
      </c>
      <c r="U14" s="43">
        <f>U$2*12-SUM($S14:T14)-SUMPRODUCT(--($F14:$Q14&lt;=U$2),U$2-$F14:$Q14)</f>
        <v>0</v>
      </c>
    </row>
    <row r="15" spans="1:21" x14ac:dyDescent="0.2">
      <c r="A15" s="26">
        <v>12</v>
      </c>
      <c r="B15" s="38" t="s">
        <v>126</v>
      </c>
      <c r="C15" s="39" t="s">
        <v>127</v>
      </c>
      <c r="D15" s="39" t="s">
        <v>128</v>
      </c>
      <c r="E15" s="40">
        <v>500020</v>
      </c>
      <c r="F15" s="152">
        <v>3128586.3</v>
      </c>
      <c r="G15" s="152">
        <v>2874141.9</v>
      </c>
      <c r="H15" s="152">
        <v>3050718.3</v>
      </c>
      <c r="I15" s="152">
        <v>2973902.4</v>
      </c>
      <c r="J15" s="152">
        <v>3282818.7</v>
      </c>
      <c r="K15" s="152">
        <v>3483037.95</v>
      </c>
      <c r="L15" s="152">
        <v>3916366.65</v>
      </c>
      <c r="M15" s="152">
        <v>3968725.95</v>
      </c>
      <c r="N15" s="152">
        <v>3516831.15</v>
      </c>
      <c r="O15" s="152">
        <v>3221788.5</v>
      </c>
      <c r="P15" s="152">
        <v>2928910.95</v>
      </c>
      <c r="Q15" s="152">
        <v>3036522.3</v>
      </c>
      <c r="R15" s="42">
        <f t="shared" si="2"/>
        <v>39382351.049999997</v>
      </c>
      <c r="S15" s="43">
        <f t="shared" si="3"/>
        <v>6000000</v>
      </c>
      <c r="T15" s="43">
        <f>T$2*12-SUM($S15:S15)-SUMPRODUCT(--($F15:$Q15&lt;=T$2),T$2-$F15:$Q15)</f>
        <v>33382351.049999997</v>
      </c>
      <c r="U15" s="43">
        <f>U$2*12-SUM($S15:T15)-SUMPRODUCT(--($F15:$Q15&lt;=U$2),U$2-$F15:$Q15)</f>
        <v>0</v>
      </c>
    </row>
    <row r="16" spans="1:21" x14ac:dyDescent="0.2">
      <c r="A16" s="26">
        <v>13</v>
      </c>
      <c r="B16" s="38" t="s">
        <v>129</v>
      </c>
      <c r="C16" s="39" t="s">
        <v>130</v>
      </c>
      <c r="D16" s="39" t="s">
        <v>131</v>
      </c>
      <c r="E16" s="40">
        <v>1900012</v>
      </c>
      <c r="F16" s="152">
        <v>896559.3</v>
      </c>
      <c r="G16" s="152">
        <v>832671</v>
      </c>
      <c r="H16" s="152">
        <v>871491.6</v>
      </c>
      <c r="I16" s="152">
        <f>1744213.8-872106.9</f>
        <v>872106.9</v>
      </c>
      <c r="J16" s="152">
        <v>976057.95</v>
      </c>
      <c r="K16" s="152">
        <v>1077686.3999999999</v>
      </c>
      <c r="L16" s="152">
        <v>1229466</v>
      </c>
      <c r="M16" s="152">
        <v>1225219.8</v>
      </c>
      <c r="N16" s="152">
        <v>1104454.05</v>
      </c>
      <c r="O16" s="152">
        <v>978952.8</v>
      </c>
      <c r="P16" s="152">
        <v>848800.05</v>
      </c>
      <c r="Q16" s="152">
        <v>888017.55</v>
      </c>
      <c r="R16" s="42">
        <f t="shared" si="2"/>
        <v>11801483.400000002</v>
      </c>
      <c r="S16" s="43">
        <f t="shared" si="3"/>
        <v>6000000</v>
      </c>
      <c r="T16" s="43">
        <f>T$2*12-SUM($S16:S16)-SUMPRODUCT(--($F16:$Q16&lt;=T$2),T$2-$F16:$Q16)</f>
        <v>5801483.3999999836</v>
      </c>
      <c r="U16" s="43">
        <f>U$2*12-SUM($S16:T16)-SUMPRODUCT(--($F16:$Q16&lt;=U$2),U$2-$F16:$Q16)</f>
        <v>0</v>
      </c>
    </row>
    <row r="17" spans="1:21" s="46" customFormat="1" x14ac:dyDescent="0.2">
      <c r="A17" s="46">
        <v>14</v>
      </c>
      <c r="B17" s="47" t="s">
        <v>132</v>
      </c>
      <c r="C17" s="48" t="s">
        <v>133</v>
      </c>
      <c r="D17" s="48" t="s">
        <v>134</v>
      </c>
      <c r="E17" s="49">
        <v>2400169</v>
      </c>
      <c r="F17" s="152">
        <v>1014457.8</v>
      </c>
      <c r="G17" s="152">
        <v>854813.4</v>
      </c>
      <c r="H17" s="152">
        <v>991329</v>
      </c>
      <c r="I17" s="152">
        <v>412491</v>
      </c>
      <c r="J17" s="152">
        <v>887675.1</v>
      </c>
      <c r="K17" s="152">
        <v>980362.8</v>
      </c>
      <c r="L17" s="152">
        <v>980105.4</v>
      </c>
      <c r="M17" s="152">
        <v>879664.8</v>
      </c>
      <c r="N17" s="152">
        <v>699370.5</v>
      </c>
      <c r="O17" s="152">
        <v>532618.80000000005</v>
      </c>
      <c r="P17" s="152">
        <v>527129.4</v>
      </c>
      <c r="Q17" s="152">
        <v>577367.69999999995</v>
      </c>
      <c r="R17" s="50">
        <f t="shared" si="2"/>
        <v>9337385.6999999993</v>
      </c>
      <c r="S17" s="51">
        <f t="shared" si="3"/>
        <v>5912491</v>
      </c>
      <c r="T17" s="51">
        <f>T$2*12-SUM($S17:S17)-SUMPRODUCT(--($F17:$Q17&lt;=T$2),T$2-$F17:$Q17)</f>
        <v>3424894.6999999955</v>
      </c>
      <c r="U17" s="43">
        <f>U$2*12-SUM($S17:T17)-SUMPRODUCT(--($F17:$Q17&lt;=U$2),U$2-$F17:$Q17)</f>
        <v>0</v>
      </c>
    </row>
    <row r="18" spans="1:21" x14ac:dyDescent="0.2">
      <c r="A18" s="26">
        <v>15</v>
      </c>
      <c r="B18" s="38" t="s">
        <v>135</v>
      </c>
      <c r="C18" s="39" t="s">
        <v>136</v>
      </c>
      <c r="D18" s="39" t="s">
        <v>137</v>
      </c>
      <c r="E18" s="40">
        <v>690067830</v>
      </c>
      <c r="F18" s="152">
        <v>1236165</v>
      </c>
      <c r="G18" s="152">
        <v>989977.8</v>
      </c>
      <c r="H18" s="152">
        <f>-(-6207761.7+989977.8+1236165+1089341.4+2359005.6)</f>
        <v>533271.90000000037</v>
      </c>
      <c r="I18" s="152">
        <v>1019432.4</v>
      </c>
      <c r="J18" s="152">
        <v>738500.7</v>
      </c>
      <c r="K18" s="152">
        <v>828800.7</v>
      </c>
      <c r="L18" s="152">
        <v>997552.5</v>
      </c>
      <c r="M18" s="152">
        <v>982088.1</v>
      </c>
      <c r="N18" s="152">
        <v>948038.7</v>
      </c>
      <c r="O18" s="152">
        <v>919707.6</v>
      </c>
      <c r="P18" s="152">
        <v>800339.4</v>
      </c>
      <c r="Q18" s="152">
        <v>766308.9</v>
      </c>
      <c r="R18" s="42">
        <f t="shared" si="2"/>
        <v>10760183.700000001</v>
      </c>
      <c r="S18" s="43">
        <f t="shared" si="3"/>
        <v>6000000</v>
      </c>
      <c r="T18" s="43">
        <f>T$2*12-SUM($S18:S18)-SUMPRODUCT(--($F18:$Q18&lt;=T$2),T$2-$F18:$Q18)</f>
        <v>4760183.700000003</v>
      </c>
      <c r="U18" s="43">
        <f>U$2*12-SUM($S18:T18)-SUMPRODUCT(--($F18:$Q18&lt;=U$2),U$2-$F18:$Q18)</f>
        <v>0</v>
      </c>
    </row>
    <row r="19" spans="1:21" x14ac:dyDescent="0.2">
      <c r="A19" s="26">
        <v>16</v>
      </c>
      <c r="B19" s="38" t="s">
        <v>138</v>
      </c>
      <c r="C19" s="39" t="s">
        <v>139</v>
      </c>
      <c r="D19" s="39" t="s">
        <v>140</v>
      </c>
      <c r="E19" s="40">
        <v>1300001</v>
      </c>
      <c r="F19" s="152">
        <v>2176994.4</v>
      </c>
      <c r="G19" s="152">
        <v>2023022.4</v>
      </c>
      <c r="H19" s="152">
        <v>2107862.4</v>
      </c>
      <c r="I19" s="152">
        <v>1813176.4</v>
      </c>
      <c r="J19" s="152">
        <v>1489138</v>
      </c>
      <c r="K19" s="152">
        <v>1834109.2</v>
      </c>
      <c r="L19" s="152">
        <v>1942844.4</v>
      </c>
      <c r="M19" s="152">
        <v>2136582</v>
      </c>
      <c r="N19" s="152">
        <v>2047278.8</v>
      </c>
      <c r="O19" s="152">
        <v>2080783.6</v>
      </c>
      <c r="P19" s="152">
        <v>2194726.7999999998</v>
      </c>
      <c r="Q19" s="152">
        <v>2375410.7999999998</v>
      </c>
      <c r="R19" s="42">
        <f t="shared" si="2"/>
        <v>24221929.200000003</v>
      </c>
      <c r="S19" s="43">
        <f t="shared" si="3"/>
        <v>6000000</v>
      </c>
      <c r="T19" s="43">
        <f>T$2*12-SUM($S19:S19)-SUMPRODUCT(--($F19:$Q19&lt;=T$2),T$2-$F19:$Q19)</f>
        <v>18221929.199999996</v>
      </c>
      <c r="U19" s="43">
        <f>U$2*12-SUM($S19:T19)-SUMPRODUCT(--($F19:$Q19&lt;=U$2),U$2-$F19:$Q19)</f>
        <v>0</v>
      </c>
    </row>
    <row r="20" spans="1:21" x14ac:dyDescent="0.2">
      <c r="A20" s="26">
        <v>17</v>
      </c>
      <c r="B20" s="38" t="s">
        <v>141</v>
      </c>
      <c r="C20" s="39" t="s">
        <v>142</v>
      </c>
      <c r="D20" s="39" t="s">
        <v>143</v>
      </c>
      <c r="E20" s="40">
        <v>290081951</v>
      </c>
      <c r="F20" s="152">
        <v>2632330.4</v>
      </c>
      <c r="G20" s="152">
        <v>2452385.6</v>
      </c>
      <c r="H20" s="152">
        <v>2427532.7999999998</v>
      </c>
      <c r="I20" s="152">
        <v>2129780.7999999998</v>
      </c>
      <c r="J20" s="152">
        <v>2074923.2</v>
      </c>
      <c r="K20" s="152">
        <v>2022020</v>
      </c>
      <c r="L20" s="152">
        <v>2081984.8</v>
      </c>
      <c r="M20" s="152">
        <v>2057552</v>
      </c>
      <c r="N20" s="152">
        <v>2010853.6</v>
      </c>
      <c r="O20" s="152">
        <v>2119429.2000000002</v>
      </c>
      <c r="P20" s="152">
        <v>2110371.2000000002</v>
      </c>
      <c r="Q20" s="152">
        <v>2175661.6</v>
      </c>
      <c r="R20" s="42">
        <f t="shared" si="2"/>
        <v>26294825.200000003</v>
      </c>
      <c r="S20" s="43">
        <f t="shared" si="3"/>
        <v>6000000</v>
      </c>
      <c r="T20" s="43">
        <f>T$2*12-SUM($S20:S20)-SUMPRODUCT(--($F20:$Q20&lt;=T$2),T$2-$F20:$Q20)</f>
        <v>20294825.20000001</v>
      </c>
      <c r="U20" s="43">
        <f>U$2*12-SUM($S20:T20)-SUMPRODUCT(--($F20:$Q20&lt;=U$2),U$2-$F20:$Q20)</f>
        <v>0</v>
      </c>
    </row>
    <row r="21" spans="1:21" x14ac:dyDescent="0.2">
      <c r="A21" s="26">
        <v>18</v>
      </c>
      <c r="B21" s="38" t="s">
        <v>144</v>
      </c>
      <c r="C21" s="39" t="s">
        <v>145</v>
      </c>
      <c r="D21" s="39" t="s">
        <v>146</v>
      </c>
      <c r="E21" s="40">
        <v>500033</v>
      </c>
      <c r="F21" s="152">
        <v>4348331.66</v>
      </c>
      <c r="G21" s="152">
        <v>4007395.07</v>
      </c>
      <c r="H21" s="152">
        <v>4019307.47</v>
      </c>
      <c r="I21" s="152">
        <v>3357893.09</v>
      </c>
      <c r="J21" s="152">
        <v>3783768.49</v>
      </c>
      <c r="K21" s="152">
        <v>4034772</v>
      </c>
      <c r="L21" s="152">
        <v>4887071.88</v>
      </c>
      <c r="M21" s="152">
        <v>4424075</v>
      </c>
      <c r="N21" s="152">
        <v>4229033.2300000004</v>
      </c>
      <c r="O21" s="152">
        <v>3925595.48</v>
      </c>
      <c r="P21" s="152">
        <v>3903967.98</v>
      </c>
      <c r="Q21" s="152">
        <v>4071661.93</v>
      </c>
      <c r="R21" s="42">
        <f t="shared" si="2"/>
        <v>48992873.279999994</v>
      </c>
      <c r="S21" s="43">
        <f t="shared" si="3"/>
        <v>6000000</v>
      </c>
      <c r="T21" s="43">
        <f>T$2*12-SUM($S21:S21)-SUMPRODUCT(--($F21:$Q21&lt;=T$2),T$2-$F21:$Q21)</f>
        <v>42992873.280000001</v>
      </c>
      <c r="U21" s="43">
        <f>U$2*12-SUM($S21:T21)-SUMPRODUCT(--($F21:$Q21&lt;=U$2),U$2-$F21:$Q21)</f>
        <v>0</v>
      </c>
    </row>
    <row r="22" spans="1:21" x14ac:dyDescent="0.2">
      <c r="A22" s="26">
        <v>19</v>
      </c>
      <c r="B22" s="38" t="s">
        <v>147</v>
      </c>
      <c r="C22" s="39" t="s">
        <v>148</v>
      </c>
      <c r="D22" s="39" t="s">
        <v>149</v>
      </c>
      <c r="E22" s="40">
        <v>410031282</v>
      </c>
      <c r="F22" s="152">
        <v>3371671.8</v>
      </c>
      <c r="G22" s="152">
        <v>3054903.6</v>
      </c>
      <c r="H22" s="152">
        <v>3102359.4</v>
      </c>
      <c r="I22" s="152">
        <v>2761512.6</v>
      </c>
      <c r="J22" s="152">
        <v>2693905.2</v>
      </c>
      <c r="K22" s="152">
        <v>2677175.0469999998</v>
      </c>
      <c r="L22" s="152">
        <v>2791404</v>
      </c>
      <c r="M22" s="152">
        <v>2700763.8</v>
      </c>
      <c r="N22" s="152">
        <v>2650947.6</v>
      </c>
      <c r="O22" s="152">
        <v>2912242.2</v>
      </c>
      <c r="P22" s="152">
        <v>2990796.9</v>
      </c>
      <c r="Q22" s="152">
        <v>3143271.6</v>
      </c>
      <c r="R22" s="42">
        <f t="shared" si="2"/>
        <v>34850953.747000001</v>
      </c>
      <c r="S22" s="43">
        <f t="shared" si="3"/>
        <v>6000000</v>
      </c>
      <c r="T22" s="43">
        <f>T$2*12-SUM($S22:S22)-SUMPRODUCT(--($F22:$Q22&lt;=T$2),T$2-$F22:$Q22)</f>
        <v>28850953.747000001</v>
      </c>
      <c r="U22" s="43">
        <f>U$2*12-SUM($S22:T22)-SUMPRODUCT(--($F22:$Q22&lt;=U$2),U$2-$F22:$Q22)</f>
        <v>0</v>
      </c>
    </row>
    <row r="23" spans="1:21" x14ac:dyDescent="0.2">
      <c r="A23" s="26">
        <v>20</v>
      </c>
      <c r="B23" s="38" t="s">
        <v>150</v>
      </c>
      <c r="C23" s="39" t="s">
        <v>151</v>
      </c>
      <c r="D23" s="39" t="s">
        <v>152</v>
      </c>
      <c r="E23" s="40">
        <v>500032</v>
      </c>
      <c r="F23" s="152">
        <v>2711864</v>
      </c>
      <c r="G23" s="152">
        <v>2567000</v>
      </c>
      <c r="H23" s="152">
        <v>2446048</v>
      </c>
      <c r="I23" s="152">
        <v>2046976</v>
      </c>
      <c r="J23" s="152">
        <v>2016368</v>
      </c>
      <c r="K23" s="152">
        <v>1898068</v>
      </c>
      <c r="L23" s="152">
        <v>1971508</v>
      </c>
      <c r="M23" s="152">
        <v>2025568</v>
      </c>
      <c r="N23" s="152">
        <v>1954288</v>
      </c>
      <c r="O23" s="152">
        <v>2169680</v>
      </c>
      <c r="P23" s="152">
        <v>2202376</v>
      </c>
      <c r="Q23" s="152">
        <v>2303120</v>
      </c>
      <c r="R23" s="42">
        <f t="shared" si="2"/>
        <v>26312864</v>
      </c>
      <c r="S23" s="43">
        <f t="shared" si="3"/>
        <v>6000000</v>
      </c>
      <c r="T23" s="43">
        <f>T$2*12-SUM($S23:S23)-SUMPRODUCT(--($F23:$Q23&lt;=T$2),T$2-$F23:$Q23)</f>
        <v>20312864</v>
      </c>
      <c r="U23" s="43">
        <f>U$2*12-SUM($S23:T23)-SUMPRODUCT(--($F23:$Q23&lt;=U$2),U$2-$F23:$Q23)</f>
        <v>0</v>
      </c>
    </row>
    <row r="24" spans="1:21" x14ac:dyDescent="0.2">
      <c r="A24" s="26">
        <v>21</v>
      </c>
      <c r="B24" s="38" t="s">
        <v>153</v>
      </c>
      <c r="C24" s="39" t="s">
        <v>154</v>
      </c>
      <c r="D24" s="39" t="s">
        <v>155</v>
      </c>
      <c r="E24" s="40">
        <v>500034</v>
      </c>
      <c r="F24" s="152">
        <v>2243880.7999999998</v>
      </c>
      <c r="G24" s="152">
        <v>2192276.7999999998</v>
      </c>
      <c r="H24" s="152">
        <v>2001288.8</v>
      </c>
      <c r="I24" s="152">
        <v>1880586.4</v>
      </c>
      <c r="J24" s="152">
        <v>1881946.267</v>
      </c>
      <c r="K24" s="152">
        <v>2120059.2000000002</v>
      </c>
      <c r="L24" s="152">
        <v>2836748.6</v>
      </c>
      <c r="M24" s="152">
        <v>3031490</v>
      </c>
      <c r="N24" s="152">
        <v>2586094</v>
      </c>
      <c r="O24" s="152">
        <v>2053567.6</v>
      </c>
      <c r="P24" s="152">
        <v>1556279.2</v>
      </c>
      <c r="Q24" s="152">
        <v>1602062</v>
      </c>
      <c r="R24" s="42">
        <f t="shared" si="2"/>
        <v>25986279.666999999</v>
      </c>
      <c r="S24" s="43">
        <f t="shared" si="3"/>
        <v>6000000</v>
      </c>
      <c r="T24" s="43">
        <f>T$2*12-SUM($S24:S24)-SUMPRODUCT(--($F24:$Q24&lt;=T$2),T$2-$F24:$Q24)</f>
        <v>19986279.667000003</v>
      </c>
      <c r="U24" s="43">
        <f>U$2*12-SUM($S24:T24)-SUMPRODUCT(--($F24:$Q24&lt;=U$2),U$2-$F24:$Q24)</f>
        <v>0</v>
      </c>
    </row>
    <row r="25" spans="1:21" x14ac:dyDescent="0.2">
      <c r="A25" s="26">
        <v>22</v>
      </c>
      <c r="B25" s="38" t="s">
        <v>91</v>
      </c>
      <c r="C25" s="39" t="s">
        <v>89</v>
      </c>
      <c r="D25" s="39">
        <v>2311155858</v>
      </c>
      <c r="E25" s="26" t="s">
        <v>92</v>
      </c>
      <c r="F25" s="152">
        <v>2886178.4</v>
      </c>
      <c r="G25" s="152">
        <v>2995876.8</v>
      </c>
      <c r="H25" s="152">
        <v>3138021.6</v>
      </c>
      <c r="I25" s="152">
        <v>2392975.2000000002</v>
      </c>
      <c r="J25" s="152">
        <v>434039.2</v>
      </c>
      <c r="K25" s="152">
        <v>952255.85400000005</v>
      </c>
      <c r="L25" s="152">
        <v>236541.2</v>
      </c>
      <c r="M25" s="152">
        <v>965123.6</v>
      </c>
      <c r="N25" s="152">
        <v>1260630</v>
      </c>
      <c r="O25" s="152">
        <v>1098339.2</v>
      </c>
      <c r="P25" s="152">
        <v>457528.4</v>
      </c>
      <c r="Q25" s="152">
        <v>268716</v>
      </c>
      <c r="R25" s="42">
        <f t="shared" ref="R25:R26" si="4">SUM(F25:Q25)</f>
        <v>17086225.453999996</v>
      </c>
      <c r="S25" s="43">
        <f t="shared" si="3"/>
        <v>5396824.7999999998</v>
      </c>
      <c r="T25" s="43">
        <f>T$2*12-SUM($S25:S25)-SUMPRODUCT(--($F25:$Q25&lt;=T$2),T$2-$F25:$Q25)</f>
        <v>11689400.653999999</v>
      </c>
      <c r="U25" s="43">
        <f>U$2*12-SUM($S25:T25)-SUMPRODUCT(--($F25:$Q25&lt;=U$2),U$2-$F25:$Q25)</f>
        <v>0</v>
      </c>
    </row>
    <row r="26" spans="1:21" x14ac:dyDescent="0.2">
      <c r="A26" s="26">
        <v>23</v>
      </c>
      <c r="B26" s="38" t="s">
        <v>93</v>
      </c>
      <c r="C26" s="39" t="s">
        <v>94</v>
      </c>
      <c r="D26" s="39">
        <v>7600951015</v>
      </c>
      <c r="E26" s="26" t="s">
        <v>95</v>
      </c>
      <c r="F26" s="152">
        <v>943345.2</v>
      </c>
      <c r="G26" s="152">
        <v>864511.2</v>
      </c>
      <c r="H26" s="152">
        <v>836190.6</v>
      </c>
      <c r="I26" s="152">
        <f>1473124.8-736562.4</f>
        <v>736562.4</v>
      </c>
      <c r="J26" s="152">
        <v>775177.2</v>
      </c>
      <c r="K26" s="152">
        <f>3178358.4-2360336.58</f>
        <v>818021.81999999983</v>
      </c>
      <c r="L26" s="152">
        <f>873221.58-79383.78</f>
        <v>793837.79999999993</v>
      </c>
      <c r="M26" s="152">
        <v>782982.9</v>
      </c>
      <c r="N26" s="152">
        <v>789314.4</v>
      </c>
      <c r="O26" s="152">
        <v>777054.6</v>
      </c>
      <c r="P26" s="152">
        <v>787443.3</v>
      </c>
      <c r="Q26" s="152">
        <v>856989</v>
      </c>
      <c r="R26" s="42">
        <f t="shared" si="4"/>
        <v>9761430.4199999999</v>
      </c>
      <c r="S26" s="43">
        <f t="shared" si="3"/>
        <v>6000000</v>
      </c>
      <c r="T26" s="43">
        <f>T$2*12-SUM($S26:S26)-SUMPRODUCT(--($F26:$Q26&lt;=T$2),T$2-$F26:$Q26)</f>
        <v>3761430.4199999943</v>
      </c>
      <c r="U26" s="43">
        <f>U$2*12-SUM($S26:T26)-SUMPRODUCT(--($F26:$Q26&lt;=U$2),U$2-$F26:$Q26)</f>
        <v>0</v>
      </c>
    </row>
    <row r="27" spans="1:21" ht="13.9" customHeight="1" thickBot="1" x14ac:dyDescent="0.25">
      <c r="A27" s="26" t="s">
        <v>156</v>
      </c>
      <c r="C27" s="48"/>
      <c r="E27" s="26" t="s">
        <v>157</v>
      </c>
      <c r="F27" s="52">
        <f t="shared" ref="F27:Q27" si="5">SUM(F4:F26)</f>
        <v>94913448.660000011</v>
      </c>
      <c r="G27" s="52">
        <f t="shared" si="5"/>
        <v>82531719.569999978</v>
      </c>
      <c r="H27" s="52">
        <f t="shared" si="5"/>
        <v>81358298.069999978</v>
      </c>
      <c r="I27" s="52">
        <f t="shared" si="5"/>
        <v>75453878.390000001</v>
      </c>
      <c r="J27" s="52">
        <f t="shared" si="5"/>
        <v>73196311.51000002</v>
      </c>
      <c r="K27" s="52">
        <f t="shared" si="5"/>
        <v>63029088.971000008</v>
      </c>
      <c r="L27" s="52">
        <f t="shared" si="5"/>
        <v>80841776.637999982</v>
      </c>
      <c r="M27" s="52">
        <f t="shared" si="5"/>
        <v>90752493.409999982</v>
      </c>
      <c r="N27" s="52">
        <f t="shared" si="5"/>
        <v>86063755.541999996</v>
      </c>
      <c r="O27" s="52">
        <f t="shared" si="5"/>
        <v>86495234.502999976</v>
      </c>
      <c r="P27" s="52">
        <f t="shared" si="5"/>
        <v>81011134.030000016</v>
      </c>
      <c r="Q27" s="52">
        <f t="shared" si="5"/>
        <v>83424071.429999992</v>
      </c>
      <c r="R27" s="54">
        <f>IF(ROUND(SUM(R4:R26),0)&lt;&gt;ROUND(SUM(F27:Q27),0),#VALUE!,SUM(R4:R26))</f>
        <v>979071210.7240001</v>
      </c>
      <c r="S27" s="55">
        <f>SUM(S4:S26)</f>
        <v>137309315.80000001</v>
      </c>
      <c r="T27" s="55">
        <f>SUM(T4:T26)</f>
        <v>494162680.92399997</v>
      </c>
      <c r="U27" s="55">
        <f>SUM(U4:U26)</f>
        <v>347599214</v>
      </c>
    </row>
    <row r="28" spans="1:21" ht="13.9" customHeight="1" thickTop="1" x14ac:dyDescent="0.2">
      <c r="F28" s="46"/>
      <c r="G28" s="46"/>
      <c r="H28" s="46"/>
      <c r="I28" s="46"/>
      <c r="J28" s="46"/>
      <c r="K28" s="46"/>
      <c r="L28" s="46"/>
      <c r="M28" s="46"/>
      <c r="N28" s="46"/>
      <c r="O28" s="56"/>
      <c r="P28" s="56"/>
      <c r="Q28" s="57"/>
      <c r="S28" s="58"/>
      <c r="T28" s="58"/>
      <c r="U28" s="59">
        <f>SUM(S27:U27)</f>
        <v>979071210.72399998</v>
      </c>
    </row>
    <row r="29" spans="1:21" ht="12.75" customHeight="1" x14ac:dyDescent="0.2">
      <c r="A29" s="26" t="s">
        <v>158</v>
      </c>
      <c r="F29" s="152">
        <v>91254718</v>
      </c>
      <c r="G29" s="152">
        <v>94913448.659000009</v>
      </c>
      <c r="H29" s="152">
        <v>82531719.569000006</v>
      </c>
      <c r="I29" s="152">
        <v>81793665.872000009</v>
      </c>
      <c r="J29" s="152">
        <v>75483040.390000001</v>
      </c>
      <c r="K29" s="152">
        <v>73167149.510000005</v>
      </c>
      <c r="L29" s="152">
        <v>61760294.660999998</v>
      </c>
      <c r="M29" s="152">
        <v>82110570.947999999</v>
      </c>
      <c r="N29" s="152">
        <v>90752493.409999996</v>
      </c>
      <c r="O29" s="152">
        <v>86063755.541999996</v>
      </c>
      <c r="P29" s="152">
        <v>86495234.502999991</v>
      </c>
      <c r="Q29" s="152">
        <v>81011134.030000001</v>
      </c>
      <c r="R29" s="42">
        <f>SUM(F29:Q29)</f>
        <v>987337225.09399986</v>
      </c>
    </row>
    <row r="30" spans="1:21" ht="12.75" customHeight="1" x14ac:dyDescent="0.2">
      <c r="A30" s="34" t="s">
        <v>159</v>
      </c>
      <c r="B30" s="34"/>
      <c r="C30" s="34"/>
      <c r="D30" s="34"/>
      <c r="F30" s="152">
        <v>94898998</v>
      </c>
      <c r="G30" s="152">
        <v>82335348</v>
      </c>
      <c r="H30" s="152">
        <v>80959239</v>
      </c>
      <c r="I30" s="152">
        <v>72361691</v>
      </c>
      <c r="J30" s="152">
        <v>72898325</v>
      </c>
      <c r="K30" s="152">
        <v>62367231</v>
      </c>
      <c r="L30" s="152">
        <v>80039755</v>
      </c>
      <c r="M30" s="152">
        <v>90104750</v>
      </c>
      <c r="N30" s="152">
        <v>85477326</v>
      </c>
      <c r="O30" s="152">
        <v>86330392</v>
      </c>
      <c r="P30" s="152">
        <v>80668735</v>
      </c>
      <c r="Q30" s="152">
        <v>83626479</v>
      </c>
      <c r="R30" s="42">
        <f>SUM(F30:Q30)</f>
        <v>972068269</v>
      </c>
    </row>
    <row r="31" spans="1:21" ht="12.75" customHeight="1" x14ac:dyDescent="0.2">
      <c r="A31" s="34" t="s">
        <v>160</v>
      </c>
      <c r="B31" s="34"/>
      <c r="C31" s="34"/>
      <c r="D31" s="34"/>
      <c r="F31" s="152">
        <v>-90893021</v>
      </c>
      <c r="G31" s="152">
        <v>-94898998</v>
      </c>
      <c r="H31" s="152">
        <v>-82335348</v>
      </c>
      <c r="I31" s="152">
        <v>-80959239</v>
      </c>
      <c r="J31" s="152">
        <v>-72361691</v>
      </c>
      <c r="K31" s="152">
        <v>-72898325</v>
      </c>
      <c r="L31" s="152">
        <v>-62367231</v>
      </c>
      <c r="M31" s="152">
        <v>-80039755</v>
      </c>
      <c r="N31" s="152">
        <v>-90104750</v>
      </c>
      <c r="O31" s="152">
        <v>-85477326</v>
      </c>
      <c r="P31" s="152">
        <v>-86330392</v>
      </c>
      <c r="Q31" s="152">
        <v>-80668735</v>
      </c>
      <c r="R31" s="42">
        <f t="shared" ref="R31:R34" si="6">SUM(F31:Q31)</f>
        <v>-979334811</v>
      </c>
      <c r="S31" s="79"/>
    </row>
    <row r="32" spans="1:21" ht="12.75" customHeight="1" x14ac:dyDescent="0.25">
      <c r="A32" s="34" t="s">
        <v>193</v>
      </c>
      <c r="B32" s="34"/>
      <c r="C32" s="34"/>
      <c r="D32" s="34"/>
      <c r="F32" s="147">
        <f>SUM(F29:F31)</f>
        <v>95260695</v>
      </c>
      <c r="G32" s="147">
        <f t="shared" ref="G32:R32" si="7">SUM(G29:G31)</f>
        <v>82349798.659000009</v>
      </c>
      <c r="H32" s="147">
        <f t="shared" si="7"/>
        <v>81155610.569000006</v>
      </c>
      <c r="I32" s="147">
        <f t="shared" si="7"/>
        <v>73196117.872000009</v>
      </c>
      <c r="J32" s="147">
        <f t="shared" si="7"/>
        <v>76019674.389999986</v>
      </c>
      <c r="K32" s="147">
        <f t="shared" si="7"/>
        <v>62636055.50999999</v>
      </c>
      <c r="L32" s="147">
        <f t="shared" si="7"/>
        <v>79432818.661000013</v>
      </c>
      <c r="M32" s="147">
        <f t="shared" si="7"/>
        <v>92175565.948000014</v>
      </c>
      <c r="N32" s="147">
        <f t="shared" si="7"/>
        <v>86125069.409999996</v>
      </c>
      <c r="O32" s="147">
        <f t="shared" si="7"/>
        <v>86916821.541999996</v>
      </c>
      <c r="P32" s="147">
        <f t="shared" si="7"/>
        <v>80833577.502999991</v>
      </c>
      <c r="Q32" s="147">
        <f t="shared" si="7"/>
        <v>83968878.030000001</v>
      </c>
      <c r="R32" s="148">
        <f t="shared" si="7"/>
        <v>980070683.09399986</v>
      </c>
    </row>
    <row r="33" spans="1:21" ht="12.75" customHeight="1" x14ac:dyDescent="0.2">
      <c r="A33" s="62" t="s">
        <v>161</v>
      </c>
      <c r="B33" s="62"/>
      <c r="C33" s="62"/>
      <c r="D33" s="149"/>
      <c r="F33" s="168">
        <f>F27-F32-F34</f>
        <v>14450.660000011325</v>
      </c>
      <c r="G33" s="168">
        <f>G27-G32-G34</f>
        <v>196371.57099997997</v>
      </c>
      <c r="H33" s="168">
        <f>H27-H32-H34</f>
        <v>399059.0719999522</v>
      </c>
      <c r="I33" s="168">
        <f>I27-I32-I34</f>
        <v>2656819.589999944</v>
      </c>
      <c r="J33" s="168">
        <f t="shared" ref="J33:Q33" si="8">J27-J32-J34</f>
        <v>-166543.29000002146</v>
      </c>
      <c r="K33" s="168">
        <f t="shared" si="8"/>
        <v>226490.17099999636</v>
      </c>
      <c r="L33" s="168">
        <f t="shared" si="8"/>
        <v>1635448.1479999647</v>
      </c>
      <c r="M33" s="168">
        <f t="shared" si="8"/>
        <v>212375.60999993235</v>
      </c>
      <c r="N33" s="168">
        <f t="shared" si="8"/>
        <v>151061.74199993163</v>
      </c>
      <c r="O33" s="169">
        <f t="shared" si="8"/>
        <v>-270525.2970000878</v>
      </c>
      <c r="P33" s="169">
        <f t="shared" si="8"/>
        <v>-92968.770000062883</v>
      </c>
      <c r="Q33" s="170">
        <f t="shared" si="8"/>
        <v>-637775.37000007182</v>
      </c>
      <c r="R33" s="42">
        <f t="shared" si="6"/>
        <v>4324263.8369994685</v>
      </c>
    </row>
    <row r="34" spans="1:21" ht="12.75" customHeight="1" x14ac:dyDescent="0.2">
      <c r="A34" s="62" t="s">
        <v>162</v>
      </c>
      <c r="B34" s="62"/>
      <c r="C34" s="62"/>
      <c r="D34" s="62"/>
      <c r="F34" s="168">
        <f>-(F29+F31)</f>
        <v>-361697</v>
      </c>
      <c r="G34" s="168">
        <f>-F33</f>
        <v>-14450.660000011325</v>
      </c>
      <c r="H34" s="168">
        <f>-G33</f>
        <v>-196371.57099997997</v>
      </c>
      <c r="I34" s="168">
        <f>-H33</f>
        <v>-399059.0719999522</v>
      </c>
      <c r="J34" s="168">
        <f t="shared" ref="J34:Q34" si="9">-I33</f>
        <v>-2656819.589999944</v>
      </c>
      <c r="K34" s="168">
        <f t="shared" si="9"/>
        <v>166543.29000002146</v>
      </c>
      <c r="L34" s="168">
        <f t="shared" si="9"/>
        <v>-226490.17099999636</v>
      </c>
      <c r="M34" s="168">
        <f t="shared" si="9"/>
        <v>-1635448.1479999647</v>
      </c>
      <c r="N34" s="168">
        <f t="shared" si="9"/>
        <v>-212375.60999993235</v>
      </c>
      <c r="O34" s="169">
        <f t="shared" si="9"/>
        <v>-151061.74199993163</v>
      </c>
      <c r="P34" s="169">
        <f t="shared" si="9"/>
        <v>270525.2970000878</v>
      </c>
      <c r="Q34" s="170">
        <f t="shared" si="9"/>
        <v>92968.770000062883</v>
      </c>
      <c r="R34" s="42">
        <f t="shared" si="6"/>
        <v>-5323736.2069995403</v>
      </c>
    </row>
    <row r="35" spans="1:21" ht="12.75" customHeight="1" x14ac:dyDescent="0.2">
      <c r="A35" s="34"/>
      <c r="B35" s="62"/>
      <c r="C35" s="62"/>
      <c r="D35" s="62"/>
      <c r="F35" s="41"/>
      <c r="G35" s="41"/>
      <c r="H35" s="41"/>
      <c r="I35" s="41"/>
      <c r="J35" s="41"/>
      <c r="K35" s="41"/>
      <c r="L35" s="41"/>
      <c r="M35" s="41"/>
      <c r="N35" s="41"/>
      <c r="O35" s="60"/>
      <c r="P35" s="60"/>
      <c r="Q35" s="61"/>
      <c r="R35" s="42"/>
    </row>
    <row r="36" spans="1:21" ht="12.75" customHeight="1" x14ac:dyDescent="0.2">
      <c r="A36" s="63"/>
      <c r="B36" s="63"/>
      <c r="C36" s="63"/>
      <c r="D36" s="63"/>
      <c r="F36" s="41"/>
      <c r="G36" s="41"/>
      <c r="H36" s="41"/>
      <c r="I36" s="41"/>
      <c r="J36" s="41"/>
      <c r="K36" s="41"/>
      <c r="L36" s="41"/>
      <c r="M36" s="41"/>
      <c r="N36" s="41"/>
      <c r="O36" s="60"/>
      <c r="P36" s="60"/>
      <c r="Q36" s="61"/>
      <c r="R36" s="42"/>
    </row>
    <row r="37" spans="1:21" ht="12.75" customHeight="1" thickBot="1" x14ac:dyDescent="0.25">
      <c r="A37" s="64" t="s">
        <v>163</v>
      </c>
      <c r="B37" s="64"/>
      <c r="C37" s="64"/>
      <c r="D37" s="64"/>
      <c r="F37" s="52">
        <f>SUM(F32:F36)</f>
        <v>94913448.660000011</v>
      </c>
      <c r="G37" s="52">
        <f t="shared" ref="G37:Q37" si="10">SUM(G32:G36)</f>
        <v>82531719.569999978</v>
      </c>
      <c r="H37" s="52">
        <f t="shared" si="10"/>
        <v>81358298.069999978</v>
      </c>
      <c r="I37" s="52">
        <f t="shared" si="10"/>
        <v>75453878.390000001</v>
      </c>
      <c r="J37" s="52">
        <f t="shared" si="10"/>
        <v>73196311.51000002</v>
      </c>
      <c r="K37" s="52">
        <f t="shared" si="10"/>
        <v>63029088.971000008</v>
      </c>
      <c r="L37" s="52">
        <f t="shared" si="10"/>
        <v>80841776.637999982</v>
      </c>
      <c r="M37" s="52">
        <f t="shared" si="10"/>
        <v>90752493.409999967</v>
      </c>
      <c r="N37" s="52">
        <f t="shared" si="10"/>
        <v>86063755.541999996</v>
      </c>
      <c r="O37" s="52">
        <f t="shared" si="10"/>
        <v>86495234.502999991</v>
      </c>
      <c r="P37" s="52">
        <f t="shared" si="10"/>
        <v>81011134.030000001</v>
      </c>
      <c r="Q37" s="52">
        <f t="shared" si="10"/>
        <v>83424071.430000007</v>
      </c>
      <c r="R37" s="65">
        <f>IF(ROUND(SUM(R32:R36),0)&lt;&gt;ROUND(SUM(F37:Q37),0),#VALUE!,SUM(R32:R36))</f>
        <v>979071210.72399974</v>
      </c>
    </row>
    <row r="38" spans="1:21" ht="12.75" customHeight="1" thickTop="1" x14ac:dyDescent="0.2">
      <c r="B38" s="64"/>
      <c r="C38" s="64"/>
      <c r="D38" s="64"/>
      <c r="F38" s="66">
        <f>F37-F27</f>
        <v>0</v>
      </c>
      <c r="G38" s="66">
        <f t="shared" ref="G38:I38" si="11">G37-G27</f>
        <v>0</v>
      </c>
      <c r="H38" s="66">
        <f t="shared" si="11"/>
        <v>0</v>
      </c>
      <c r="I38" s="66">
        <f t="shared" si="11"/>
        <v>0</v>
      </c>
      <c r="J38" s="66">
        <f>J37-J27</f>
        <v>0</v>
      </c>
      <c r="K38" s="66">
        <f t="shared" ref="K38:Q38" si="12">K37-K27</f>
        <v>0</v>
      </c>
      <c r="L38" s="66">
        <f t="shared" si="12"/>
        <v>0</v>
      </c>
      <c r="M38" s="66">
        <f t="shared" si="12"/>
        <v>0</v>
      </c>
      <c r="N38" s="66">
        <f t="shared" si="12"/>
        <v>0</v>
      </c>
      <c r="O38" s="67">
        <f t="shared" si="12"/>
        <v>0</v>
      </c>
      <c r="P38" s="67">
        <f t="shared" si="12"/>
        <v>0</v>
      </c>
      <c r="Q38" s="68">
        <f t="shared" si="12"/>
        <v>0</v>
      </c>
      <c r="R38" s="69">
        <f>R37-R27</f>
        <v>0</v>
      </c>
    </row>
    <row r="39" spans="1:21" ht="13.15" customHeight="1" x14ac:dyDescent="0.2">
      <c r="B39" s="70"/>
      <c r="C39" s="70"/>
      <c r="D39" s="70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2"/>
      <c r="P39" s="72"/>
      <c r="Q39" s="73"/>
      <c r="R39" s="74"/>
    </row>
    <row r="40" spans="1:21" ht="13.15" customHeight="1" x14ac:dyDescent="0.2">
      <c r="B40" s="70"/>
      <c r="C40" s="70"/>
      <c r="D40" s="70"/>
      <c r="E40" s="70"/>
      <c r="F40" s="71"/>
      <c r="G40" s="71"/>
      <c r="H40" s="71"/>
      <c r="I40" s="71"/>
      <c r="J40" s="71"/>
      <c r="K40" s="71"/>
      <c r="L40" s="71"/>
      <c r="M40" s="71"/>
      <c r="N40" s="71"/>
      <c r="O40" s="72"/>
      <c r="P40" s="72"/>
      <c r="Q40" s="73"/>
    </row>
    <row r="41" spans="1:21" ht="13.15" customHeight="1" x14ac:dyDescent="0.2">
      <c r="A41" s="32" t="s">
        <v>164</v>
      </c>
      <c r="B41" s="32"/>
      <c r="C41" s="32"/>
      <c r="D41" s="32"/>
      <c r="F41" s="75">
        <f>F$3</f>
        <v>43831</v>
      </c>
      <c r="G41" s="75">
        <f t="shared" ref="G41:Q41" si="13">G$3</f>
        <v>43862</v>
      </c>
      <c r="H41" s="75">
        <f t="shared" si="13"/>
        <v>43893</v>
      </c>
      <c r="I41" s="75">
        <f t="shared" si="13"/>
        <v>43924</v>
      </c>
      <c r="J41" s="75">
        <f t="shared" si="13"/>
        <v>43955</v>
      </c>
      <c r="K41" s="75">
        <f t="shared" si="13"/>
        <v>43986</v>
      </c>
      <c r="L41" s="75">
        <f t="shared" si="13"/>
        <v>44017</v>
      </c>
      <c r="M41" s="75">
        <f t="shared" si="13"/>
        <v>44048</v>
      </c>
      <c r="N41" s="75">
        <f t="shared" si="13"/>
        <v>44079</v>
      </c>
      <c r="O41" s="36">
        <f t="shared" si="13"/>
        <v>44110</v>
      </c>
      <c r="P41" s="36">
        <f t="shared" si="13"/>
        <v>44141</v>
      </c>
      <c r="Q41" s="76">
        <f t="shared" si="13"/>
        <v>44172</v>
      </c>
      <c r="R41" s="29" t="s">
        <v>13</v>
      </c>
      <c r="S41" s="27" t="s">
        <v>165</v>
      </c>
      <c r="T41" s="27" t="s">
        <v>166</v>
      </c>
      <c r="U41" s="27"/>
    </row>
    <row r="42" spans="1:21" ht="13.15" customHeight="1" x14ac:dyDescent="0.2">
      <c r="A42" s="26">
        <v>1</v>
      </c>
      <c r="B42" s="77" t="str">
        <f t="shared" ref="B42:D62" si="14">B4</f>
        <v>Goodrich - North 2311008572</v>
      </c>
      <c r="C42" s="78" t="str">
        <f t="shared" si="14"/>
        <v>2317650000</v>
      </c>
      <c r="D42" s="78" t="str">
        <f t="shared" si="14"/>
        <v>2311008572</v>
      </c>
      <c r="E42" s="38">
        <v>770037736</v>
      </c>
      <c r="F42" s="152">
        <v>6811.1930000000002</v>
      </c>
      <c r="G42" s="152">
        <v>6650.1319999999996</v>
      </c>
      <c r="H42" s="152">
        <v>6792.9830000000002</v>
      </c>
      <c r="I42" s="152">
        <v>7463.46</v>
      </c>
      <c r="J42" s="152">
        <v>6281.5149999999994</v>
      </c>
      <c r="K42" s="152">
        <v>4476.38</v>
      </c>
      <c r="L42" s="152">
        <v>2299.8209999999999</v>
      </c>
      <c r="M42" s="152">
        <v>3790.0410000000002</v>
      </c>
      <c r="N42" s="152">
        <v>4506.9439999999995</v>
      </c>
      <c r="O42" s="152">
        <v>5260.1039999999994</v>
      </c>
      <c r="P42" s="152">
        <v>3141.6590000000001</v>
      </c>
      <c r="Q42" s="152">
        <v>2525.2620000000002</v>
      </c>
      <c r="R42" s="42">
        <f t="shared" ref="R42:R64" si="15">SUM(F42:Q42)</f>
        <v>59999.493999999999</v>
      </c>
      <c r="S42" s="79">
        <f>MAX(F42:Q42)</f>
        <v>7463.46</v>
      </c>
      <c r="T42" s="80">
        <f>INDEX($F$41:$Q$41,MATCH(S42,$F42:$Q42,0))</f>
        <v>43924</v>
      </c>
      <c r="U42" s="29"/>
    </row>
    <row r="43" spans="1:21" ht="13.15" customHeight="1" x14ac:dyDescent="0.2">
      <c r="A43" s="26">
        <v>2</v>
      </c>
      <c r="B43" s="77" t="str">
        <f t="shared" si="14"/>
        <v>Boise Cascade Plywood</v>
      </c>
      <c r="C43" s="78" t="str">
        <f t="shared" si="14"/>
        <v>8927100000</v>
      </c>
      <c r="D43" s="78" t="str">
        <f t="shared" si="14"/>
        <v>8920023327</v>
      </c>
      <c r="E43" s="38">
        <v>500017</v>
      </c>
      <c r="F43" s="152">
        <v>5170.7579999999998</v>
      </c>
      <c r="G43" s="152">
        <v>5298.4030000000002</v>
      </c>
      <c r="H43" s="152">
        <v>5392.5779999999995</v>
      </c>
      <c r="I43" s="152">
        <v>4991.2190000000001</v>
      </c>
      <c r="J43" s="152">
        <v>5160.098</v>
      </c>
      <c r="K43" s="152">
        <v>5178.3209999999999</v>
      </c>
      <c r="L43" s="152">
        <v>5200.6869999999999</v>
      </c>
      <c r="M43" s="152">
        <v>5056.46</v>
      </c>
      <c r="N43" s="152">
        <v>5223.915</v>
      </c>
      <c r="O43" s="152">
        <v>5283.4009999999998</v>
      </c>
      <c r="P43" s="152">
        <v>5252.7649999999994</v>
      </c>
      <c r="Q43" s="152">
        <v>5340.2629999999999</v>
      </c>
      <c r="R43" s="42">
        <f>SUM(F43:Q43)</f>
        <v>62548.867999999995</v>
      </c>
      <c r="S43" s="79">
        <f t="shared" ref="S43:S62" si="16">MAX(F43:Q43)</f>
        <v>5392.5779999999995</v>
      </c>
      <c r="T43" s="80">
        <f t="shared" ref="T43:T62" si="17">INDEX($F$41:$Q$41,MATCH(S43,$F43:$Q43,0))</f>
        <v>43893</v>
      </c>
      <c r="U43" s="29"/>
    </row>
    <row r="44" spans="1:21" ht="13.15" customHeight="1" x14ac:dyDescent="0.2">
      <c r="A44" s="26">
        <v>3</v>
      </c>
      <c r="B44" s="77" t="str">
        <f t="shared" si="14"/>
        <v>Boise Cascade Sawmill</v>
      </c>
      <c r="C44" s="78" t="str">
        <f t="shared" si="14"/>
        <v>9927100000</v>
      </c>
      <c r="D44" s="78" t="str">
        <f t="shared" si="14"/>
        <v>9920023116</v>
      </c>
      <c r="E44" s="38">
        <v>500018</v>
      </c>
      <c r="F44" s="152">
        <v>2899.8389999999999</v>
      </c>
      <c r="G44" s="152">
        <v>2988.7649999999999</v>
      </c>
      <c r="H44" s="152">
        <v>2928.35</v>
      </c>
      <c r="I44" s="152">
        <v>2811.4589999999998</v>
      </c>
      <c r="J44" s="152">
        <v>2659.1750000000002</v>
      </c>
      <c r="K44" s="152">
        <v>2608.971</v>
      </c>
      <c r="L44" s="152">
        <v>2665.9360000000001</v>
      </c>
      <c r="M44" s="152">
        <v>2457.616</v>
      </c>
      <c r="N44" s="152">
        <v>2594.8029999999999</v>
      </c>
      <c r="O44" s="152">
        <v>2800.8209999999999</v>
      </c>
      <c r="P44" s="152">
        <v>2732.2649999999999</v>
      </c>
      <c r="Q44" s="152">
        <v>2982.6779999999999</v>
      </c>
      <c r="R44" s="42">
        <f t="shared" si="15"/>
        <v>33130.678</v>
      </c>
      <c r="S44" s="79">
        <f t="shared" si="16"/>
        <v>2988.7649999999999</v>
      </c>
      <c r="T44" s="80">
        <f t="shared" si="17"/>
        <v>43862</v>
      </c>
      <c r="U44" s="29"/>
    </row>
    <row r="45" spans="1:21" ht="13.15" customHeight="1" x14ac:dyDescent="0.2">
      <c r="A45" s="26">
        <v>4</v>
      </c>
      <c r="B45" s="77" t="str">
        <f t="shared" si="14"/>
        <v>City of Spokane</v>
      </c>
      <c r="C45" s="78" t="str">
        <f t="shared" si="14"/>
        <v>8972300000</v>
      </c>
      <c r="D45" s="78" t="str">
        <f t="shared" si="14"/>
        <v>8970099313</v>
      </c>
      <c r="E45" s="38">
        <v>1900002</v>
      </c>
      <c r="F45" s="152">
        <v>2687.6489999999999</v>
      </c>
      <c r="G45" s="152">
        <v>2664.1410000000001</v>
      </c>
      <c r="H45" s="152">
        <v>2877.5889999999999</v>
      </c>
      <c r="I45" s="152">
        <v>2563.377</v>
      </c>
      <c r="J45" s="152">
        <v>2850.9679999999998</v>
      </c>
      <c r="K45" s="152">
        <v>2822.6559999999999</v>
      </c>
      <c r="L45" s="152">
        <v>2692.404</v>
      </c>
      <c r="M45" s="152">
        <v>2540.9479999999999</v>
      </c>
      <c r="N45" s="152">
        <v>2664.0819999999999</v>
      </c>
      <c r="O45" s="152">
        <v>2698.4349999999999</v>
      </c>
      <c r="P45" s="152">
        <v>2852.623</v>
      </c>
      <c r="Q45" s="152">
        <v>2766.6509999999998</v>
      </c>
      <c r="R45" s="42">
        <f t="shared" si="15"/>
        <v>32681.523000000001</v>
      </c>
      <c r="S45" s="79">
        <f t="shared" si="16"/>
        <v>2877.5889999999999</v>
      </c>
      <c r="T45" s="80">
        <f t="shared" si="17"/>
        <v>43893</v>
      </c>
      <c r="U45" s="29"/>
    </row>
    <row r="46" spans="1:21" ht="13.15" customHeight="1" x14ac:dyDescent="0.2">
      <c r="A46" s="26">
        <v>5</v>
      </c>
      <c r="B46" s="77" t="str">
        <f t="shared" si="14"/>
        <v>Empire Health Services</v>
      </c>
      <c r="C46" s="78" t="str">
        <f t="shared" si="14"/>
        <v>0082300000</v>
      </c>
      <c r="D46" s="78" t="str">
        <f t="shared" si="14"/>
        <v>0080095044</v>
      </c>
      <c r="E46" s="38">
        <v>1900011</v>
      </c>
      <c r="F46" s="152">
        <v>2868.5349999999999</v>
      </c>
      <c r="G46" s="152">
        <v>2755.37</v>
      </c>
      <c r="H46" s="152">
        <v>2705.38</v>
      </c>
      <c r="I46" s="152">
        <v>2539.636</v>
      </c>
      <c r="J46" s="152">
        <v>3409.471</v>
      </c>
      <c r="K46" s="152">
        <v>3606.337</v>
      </c>
      <c r="L46" s="152">
        <v>3742.33</v>
      </c>
      <c r="M46" s="152">
        <v>3676.3989999999999</v>
      </c>
      <c r="N46" s="152">
        <v>3667.056</v>
      </c>
      <c r="O46" s="152">
        <v>2629.3220000000001</v>
      </c>
      <c r="P46" s="152">
        <v>2623.116</v>
      </c>
      <c r="Q46" s="152">
        <v>2669.6689999999999</v>
      </c>
      <c r="R46" s="42">
        <f t="shared" si="15"/>
        <v>36892.621000000006</v>
      </c>
      <c r="S46" s="79">
        <f t="shared" si="16"/>
        <v>3742.33</v>
      </c>
      <c r="T46" s="80">
        <f t="shared" si="17"/>
        <v>44017</v>
      </c>
      <c r="U46" s="29"/>
    </row>
    <row r="47" spans="1:21" ht="13.15" customHeight="1" x14ac:dyDescent="0.2">
      <c r="A47" s="26">
        <v>6</v>
      </c>
      <c r="B47" s="77" t="str">
        <f t="shared" si="14"/>
        <v>Gonzaga University</v>
      </c>
      <c r="C47" s="78" t="str">
        <f t="shared" si="14"/>
        <v>1423850000</v>
      </c>
      <c r="D47" s="78" t="str">
        <f t="shared" si="14"/>
        <v>1420028876</v>
      </c>
      <c r="E47" s="38">
        <v>622922</v>
      </c>
      <c r="F47" s="152">
        <v>4629.0360000000001</v>
      </c>
      <c r="G47" s="152">
        <v>4616.8090000000002</v>
      </c>
      <c r="H47" s="152">
        <v>3991.7669999999998</v>
      </c>
      <c r="I47" s="152">
        <v>2459.701</v>
      </c>
      <c r="J47" s="152">
        <v>2113.6460000000002</v>
      </c>
      <c r="K47" s="152">
        <v>2802.029</v>
      </c>
      <c r="L47" s="152">
        <v>4764.6790000000001</v>
      </c>
      <c r="M47" s="152">
        <v>5011.6220000000003</v>
      </c>
      <c r="N47" s="152">
        <v>5226.3519999999999</v>
      </c>
      <c r="O47" s="152">
        <v>4533.9780000000001</v>
      </c>
      <c r="P47" s="152">
        <v>4186.8609999999999</v>
      </c>
      <c r="Q47" s="152">
        <v>3923.1239999999998</v>
      </c>
      <c r="R47" s="42">
        <f t="shared" si="15"/>
        <v>48259.604000000007</v>
      </c>
      <c r="S47" s="79">
        <f t="shared" si="16"/>
        <v>5226.3519999999999</v>
      </c>
      <c r="T47" s="80">
        <f t="shared" si="17"/>
        <v>44079</v>
      </c>
      <c r="U47" s="29"/>
    </row>
    <row r="48" spans="1:21" ht="13.15" customHeight="1" x14ac:dyDescent="0.2">
      <c r="A48" s="26">
        <v>7</v>
      </c>
      <c r="B48" s="77" t="str">
        <f t="shared" si="14"/>
        <v>Honeywell Electronics</v>
      </c>
      <c r="C48" s="78" t="str">
        <f t="shared" si="14"/>
        <v>0177400000</v>
      </c>
      <c r="D48" s="78" t="str">
        <f t="shared" si="14"/>
        <v>0170122152</v>
      </c>
      <c r="E48" s="38">
        <v>2304636</v>
      </c>
      <c r="F48" s="152">
        <v>3019.7669999999998</v>
      </c>
      <c r="G48" s="152">
        <v>2965.931</v>
      </c>
      <c r="H48" s="152">
        <v>3098.5320000000002</v>
      </c>
      <c r="I48" s="152">
        <v>3056.9079999999999</v>
      </c>
      <c r="J48" s="152">
        <v>3102.538</v>
      </c>
      <c r="K48" s="152">
        <v>3365.1039999999998</v>
      </c>
      <c r="L48" s="152">
        <v>3486.6990000000001</v>
      </c>
      <c r="M48" s="152">
        <v>3696.1660000000002</v>
      </c>
      <c r="N48" s="152">
        <v>3173.319</v>
      </c>
      <c r="O48" s="152">
        <v>3063.7330000000002</v>
      </c>
      <c r="P48" s="152">
        <v>3184.9720000000002</v>
      </c>
      <c r="Q48" s="152">
        <v>3021.739</v>
      </c>
      <c r="R48" s="42">
        <f t="shared" si="15"/>
        <v>38235.408000000003</v>
      </c>
      <c r="S48" s="79">
        <f t="shared" si="16"/>
        <v>3696.1660000000002</v>
      </c>
      <c r="T48" s="80">
        <f t="shared" si="17"/>
        <v>44048</v>
      </c>
      <c r="U48" s="29"/>
    </row>
    <row r="49" spans="1:21" ht="13.15" customHeight="1" x14ac:dyDescent="0.2">
      <c r="A49" s="26">
        <v>8</v>
      </c>
      <c r="B49" s="77" t="str">
        <f t="shared" si="14"/>
        <v>Huntwood Industries</v>
      </c>
      <c r="C49" s="78" t="str">
        <f t="shared" si="14"/>
        <v>8649170000</v>
      </c>
      <c r="D49" s="78" t="str">
        <f t="shared" si="14"/>
        <v>8640841982</v>
      </c>
      <c r="E49" s="38">
        <v>610074869</v>
      </c>
      <c r="F49" s="152">
        <v>4321.9120000000003</v>
      </c>
      <c r="G49" s="152">
        <v>4347.29</v>
      </c>
      <c r="H49" s="152">
        <v>4311.3279999999995</v>
      </c>
      <c r="I49" s="152">
        <v>4122.9880000000003</v>
      </c>
      <c r="J49" s="152">
        <v>4225.5010000000002</v>
      </c>
      <c r="K49" s="152">
        <v>4322.1450000000004</v>
      </c>
      <c r="L49" s="152">
        <v>4709.674</v>
      </c>
      <c r="M49" s="152">
        <v>4332.7979999999998</v>
      </c>
      <c r="N49" s="152">
        <v>4243.6959999999999</v>
      </c>
      <c r="O49" s="152">
        <v>4226.21</v>
      </c>
      <c r="P49" s="152">
        <v>4182.5969999999998</v>
      </c>
      <c r="Q49" s="152">
        <v>4286.3320000000003</v>
      </c>
      <c r="R49" s="42">
        <f t="shared" si="15"/>
        <v>51632.470999999998</v>
      </c>
      <c r="S49" s="79">
        <f t="shared" si="16"/>
        <v>4709.674</v>
      </c>
      <c r="T49" s="80">
        <f t="shared" si="17"/>
        <v>44017</v>
      </c>
      <c r="U49" s="29"/>
    </row>
    <row r="50" spans="1:21" ht="13.15" customHeight="1" x14ac:dyDescent="0.2">
      <c r="A50" s="26">
        <v>9</v>
      </c>
      <c r="B50" s="77" t="str">
        <f t="shared" si="14"/>
        <v>Inland Empire Paper</v>
      </c>
      <c r="C50" s="78" t="str">
        <f t="shared" si="14"/>
        <v>0166400000</v>
      </c>
      <c r="D50" s="78" t="str">
        <f t="shared" si="14"/>
        <v>0160126924</v>
      </c>
      <c r="E50" s="38">
        <v>2500004</v>
      </c>
      <c r="F50" s="152">
        <v>62712.37</v>
      </c>
      <c r="G50" s="152">
        <v>59414.75</v>
      </c>
      <c r="H50" s="152">
        <v>61789.32</v>
      </c>
      <c r="I50" s="152">
        <v>63519.94</v>
      </c>
      <c r="J50" s="152">
        <v>64742</v>
      </c>
      <c r="K50" s="152">
        <v>62373.120000000003</v>
      </c>
      <c r="L50" s="152">
        <v>63195.15</v>
      </c>
      <c r="M50" s="152">
        <v>62148.44</v>
      </c>
      <c r="N50" s="152">
        <v>61970.84</v>
      </c>
      <c r="O50" s="152">
        <v>61982.28</v>
      </c>
      <c r="P50" s="152">
        <v>60622.5</v>
      </c>
      <c r="Q50" s="152">
        <v>61249.43</v>
      </c>
      <c r="R50" s="42">
        <f t="shared" si="15"/>
        <v>745720.14000000013</v>
      </c>
      <c r="S50" s="79">
        <f t="shared" si="16"/>
        <v>64742</v>
      </c>
      <c r="T50" s="80">
        <f t="shared" si="17"/>
        <v>43955</v>
      </c>
      <c r="U50" s="29"/>
    </row>
    <row r="51" spans="1:21" ht="13.15" customHeight="1" x14ac:dyDescent="0.2">
      <c r="A51" s="26">
        <v>10</v>
      </c>
      <c r="B51" s="77" t="str">
        <f t="shared" si="14"/>
        <v>Simplot - Othello</v>
      </c>
      <c r="C51" s="78" t="str">
        <f t="shared" si="14"/>
        <v>4258610000</v>
      </c>
      <c r="D51" s="78" t="str">
        <f t="shared" si="14"/>
        <v>4250473907</v>
      </c>
      <c r="E51" s="38">
        <v>290048778</v>
      </c>
      <c r="F51" s="152">
        <v>8318.6719999999987</v>
      </c>
      <c r="G51" s="152">
        <v>8082.4629999999997</v>
      </c>
      <c r="H51" s="152">
        <v>8302.094000000001</v>
      </c>
      <c r="I51" s="152">
        <v>8359.0640000000003</v>
      </c>
      <c r="J51" s="152">
        <v>8672.8119999999999</v>
      </c>
      <c r="K51" s="152">
        <v>8678.0839999999989</v>
      </c>
      <c r="L51" s="152">
        <v>8781.5410000000011</v>
      </c>
      <c r="M51" s="152">
        <v>8616.1939999999995</v>
      </c>
      <c r="N51" s="152">
        <v>8685.4589999999989</v>
      </c>
      <c r="O51" s="152">
        <v>8544.5299999999988</v>
      </c>
      <c r="P51" s="152">
        <v>8419.1409999999996</v>
      </c>
      <c r="Q51" s="152">
        <v>8590.273000000001</v>
      </c>
      <c r="R51" s="42">
        <f t="shared" si="15"/>
        <v>102050.327</v>
      </c>
      <c r="S51" s="79">
        <f t="shared" si="16"/>
        <v>8781.5410000000011</v>
      </c>
      <c r="T51" s="80">
        <f t="shared" si="17"/>
        <v>44017</v>
      </c>
      <c r="U51" s="29"/>
    </row>
    <row r="52" spans="1:21" ht="13.15" customHeight="1" x14ac:dyDescent="0.2">
      <c r="A52" s="26">
        <v>11</v>
      </c>
      <c r="B52" s="77" t="str">
        <f t="shared" si="14"/>
        <v>McCaine Foods Inc</v>
      </c>
      <c r="C52" s="78" t="str">
        <f t="shared" si="14"/>
        <v>9066400000</v>
      </c>
      <c r="D52" s="78" t="str">
        <f t="shared" si="14"/>
        <v>9060132009</v>
      </c>
      <c r="E52" s="38">
        <v>2500003</v>
      </c>
      <c r="F52" s="152">
        <v>8571.1270000000004</v>
      </c>
      <c r="G52" s="152">
        <v>8686.1440000000002</v>
      </c>
      <c r="H52" s="152">
        <v>8747.7420000000002</v>
      </c>
      <c r="I52" s="152">
        <f>16837.74-8418.87</f>
        <v>8418.8700000000008</v>
      </c>
      <c r="J52" s="152">
        <v>8274.0740000000005</v>
      </c>
      <c r="K52" s="152">
        <v>8960.2219999999998</v>
      </c>
      <c r="L52" s="152">
        <v>9052.7219999999998</v>
      </c>
      <c r="M52" s="152">
        <v>8825.9369999999999</v>
      </c>
      <c r="N52" s="152">
        <v>8803.023000000001</v>
      </c>
      <c r="O52" s="152">
        <v>11775.164000000001</v>
      </c>
      <c r="P52" s="152">
        <v>8587.0570000000007</v>
      </c>
      <c r="Q52" s="152">
        <v>8656.4939999999988</v>
      </c>
      <c r="R52" s="42">
        <f t="shared" si="15"/>
        <v>107358.576</v>
      </c>
      <c r="S52" s="79">
        <f t="shared" si="16"/>
        <v>11775.164000000001</v>
      </c>
      <c r="T52" s="80">
        <f t="shared" si="17"/>
        <v>44110</v>
      </c>
      <c r="U52" s="29"/>
    </row>
    <row r="53" spans="1:21" ht="13.15" customHeight="1" x14ac:dyDescent="0.2">
      <c r="A53" s="26">
        <v>12</v>
      </c>
      <c r="B53" s="77" t="str">
        <f t="shared" si="14"/>
        <v>Sacred Heart Medical Center</v>
      </c>
      <c r="C53" s="78" t="str">
        <f t="shared" si="14"/>
        <v>0037100000</v>
      </c>
      <c r="D53" s="78" t="str">
        <f t="shared" si="14"/>
        <v>0030019644</v>
      </c>
      <c r="E53" s="38">
        <v>500020</v>
      </c>
      <c r="F53" s="152">
        <v>4945.9169999999995</v>
      </c>
      <c r="G53" s="152">
        <v>4887.4760000000006</v>
      </c>
      <c r="H53" s="152">
        <v>4888.9340000000002</v>
      </c>
      <c r="I53" s="152">
        <v>6145.8289999999997</v>
      </c>
      <c r="J53" s="152">
        <v>6410.6949999999997</v>
      </c>
      <c r="K53" s="152">
        <v>6724.8980000000001</v>
      </c>
      <c r="L53" s="152">
        <v>7469.1840000000002</v>
      </c>
      <c r="M53" s="152">
        <v>7235.9610000000002</v>
      </c>
      <c r="N53" s="152">
        <v>6636.9369999999999</v>
      </c>
      <c r="O53" s="152">
        <v>6616.0680000000002</v>
      </c>
      <c r="P53" s="152">
        <v>4813.0889999999999</v>
      </c>
      <c r="Q53" s="152">
        <v>4716.3590000000004</v>
      </c>
      <c r="R53" s="42">
        <f t="shared" si="15"/>
        <v>71491.347000000009</v>
      </c>
      <c r="S53" s="79">
        <f t="shared" si="16"/>
        <v>7469.1840000000002</v>
      </c>
      <c r="T53" s="80">
        <f t="shared" si="17"/>
        <v>44017</v>
      </c>
      <c r="U53" s="29"/>
    </row>
    <row r="54" spans="1:21" ht="13.15" customHeight="1" x14ac:dyDescent="0.2">
      <c r="A54" s="26">
        <v>13</v>
      </c>
      <c r="B54" s="77" t="str">
        <f t="shared" si="14"/>
        <v>Spokane County Combined Master</v>
      </c>
      <c r="C54" s="78" t="str">
        <f t="shared" si="14"/>
        <v>1082300000</v>
      </c>
      <c r="D54" s="78" t="str">
        <f t="shared" si="14"/>
        <v>1080099801</v>
      </c>
      <c r="E54" s="38">
        <v>1900012</v>
      </c>
      <c r="F54" s="152">
        <v>1790.452</v>
      </c>
      <c r="G54" s="152">
        <v>1751.722</v>
      </c>
      <c r="H54" s="152">
        <v>1763.425</v>
      </c>
      <c r="I54" s="152">
        <f>4102.79-2051.39</f>
        <v>2051.4</v>
      </c>
      <c r="J54" s="152">
        <v>2327.7860000000001</v>
      </c>
      <c r="K54" s="152">
        <v>2609.1880000000001</v>
      </c>
      <c r="L54" s="152">
        <v>2666.9650000000001</v>
      </c>
      <c r="M54" s="152">
        <v>2672.2510000000002</v>
      </c>
      <c r="N54" s="152">
        <v>2492.5940000000001</v>
      </c>
      <c r="O54" s="152">
        <v>2320.7820000000002</v>
      </c>
      <c r="P54" s="152">
        <v>1677.018</v>
      </c>
      <c r="Q54" s="152">
        <v>1653.1859999999999</v>
      </c>
      <c r="R54" s="42">
        <f t="shared" si="15"/>
        <v>25776.769</v>
      </c>
      <c r="S54" s="79">
        <f t="shared" si="16"/>
        <v>2672.2510000000002</v>
      </c>
      <c r="T54" s="80">
        <f t="shared" si="17"/>
        <v>44048</v>
      </c>
      <c r="U54" s="29"/>
    </row>
    <row r="55" spans="1:21" ht="13.15" customHeight="1" x14ac:dyDescent="0.2">
      <c r="A55" s="26">
        <v>14</v>
      </c>
      <c r="B55" s="77" t="str">
        <f t="shared" si="14"/>
        <v>Spokane Industries</v>
      </c>
      <c r="C55" s="78" t="str">
        <f t="shared" si="14"/>
        <v>0078160000</v>
      </c>
      <c r="D55" s="78" t="str">
        <f t="shared" si="14"/>
        <v>0070121063</v>
      </c>
      <c r="E55" s="38">
        <v>2400169</v>
      </c>
      <c r="F55" s="152">
        <v>6079.3209999999999</v>
      </c>
      <c r="G55" s="152">
        <v>6405.866</v>
      </c>
      <c r="H55" s="152">
        <v>6498.7910000000002</v>
      </c>
      <c r="I55" s="152">
        <v>6064.7510000000002</v>
      </c>
      <c r="J55" s="152">
        <v>6386.6630000000005</v>
      </c>
      <c r="K55" s="152">
        <v>6175.3510000000006</v>
      </c>
      <c r="L55" s="152">
        <v>6322.9349999999995</v>
      </c>
      <c r="M55" s="152">
        <v>6118.3019999999997</v>
      </c>
      <c r="N55" s="152">
        <v>5879.9079999999994</v>
      </c>
      <c r="O55" s="152">
        <v>5936.924</v>
      </c>
      <c r="P55" s="152">
        <v>4183.7569999999996</v>
      </c>
      <c r="Q55" s="152">
        <v>5325.4760000000006</v>
      </c>
      <c r="R55" s="42">
        <f t="shared" si="15"/>
        <v>71378.044999999984</v>
      </c>
      <c r="S55" s="79">
        <f t="shared" si="16"/>
        <v>6498.7910000000002</v>
      </c>
      <c r="T55" s="80">
        <f t="shared" si="17"/>
        <v>43893</v>
      </c>
      <c r="U55" s="29"/>
    </row>
    <row r="56" spans="1:21" ht="13.15" customHeight="1" x14ac:dyDescent="0.2">
      <c r="A56" s="26">
        <v>15</v>
      </c>
      <c r="B56" s="77" t="str">
        <f t="shared" si="14"/>
        <v>Triumph Composite</v>
      </c>
      <c r="C56" s="78" t="str">
        <f t="shared" si="14"/>
        <v>2261550000</v>
      </c>
      <c r="D56" s="78" t="str">
        <f t="shared" si="14"/>
        <v>2260946595</v>
      </c>
      <c r="E56" s="38">
        <v>690067830</v>
      </c>
      <c r="F56" s="152">
        <v>2900.09</v>
      </c>
      <c r="G56" s="152">
        <v>2866.28</v>
      </c>
      <c r="H56" s="152">
        <v>2832.63</v>
      </c>
      <c r="I56" s="152">
        <v>2720.21</v>
      </c>
      <c r="J56" s="152">
        <v>2866.37</v>
      </c>
      <c r="K56" s="152">
        <v>3043.38</v>
      </c>
      <c r="L56" s="152">
        <v>3060.54</v>
      </c>
      <c r="M56" s="152">
        <v>3168.04</v>
      </c>
      <c r="N56" s="152">
        <v>3293.51</v>
      </c>
      <c r="O56" s="152">
        <v>2994.44</v>
      </c>
      <c r="P56" s="152">
        <v>2503.9499999999998</v>
      </c>
      <c r="Q56" s="152">
        <v>2404.88</v>
      </c>
      <c r="R56" s="42">
        <f t="shared" si="15"/>
        <v>34654.32</v>
      </c>
      <c r="S56" s="79">
        <f t="shared" si="16"/>
        <v>3293.51</v>
      </c>
      <c r="T56" s="80">
        <f t="shared" si="17"/>
        <v>44079</v>
      </c>
      <c r="U56" s="29"/>
    </row>
    <row r="57" spans="1:21" ht="13.15" customHeight="1" x14ac:dyDescent="0.2">
      <c r="A57" s="26">
        <v>16</v>
      </c>
      <c r="B57" s="77" t="str">
        <f t="shared" si="14"/>
        <v>Vaagen Brothers Lumber</v>
      </c>
      <c r="C57" s="78" t="str">
        <f t="shared" si="14"/>
        <v>2478200000</v>
      </c>
      <c r="D57" s="78" t="str">
        <f t="shared" si="14"/>
        <v>2470070232</v>
      </c>
      <c r="E57" s="38">
        <v>1300001</v>
      </c>
      <c r="F57" s="152">
        <v>4636.0150000000003</v>
      </c>
      <c r="G57" s="152">
        <v>4717.049</v>
      </c>
      <c r="H57" s="152">
        <v>4819.0860000000002</v>
      </c>
      <c r="I57" s="152">
        <v>4350.9660000000003</v>
      </c>
      <c r="J57" s="152">
        <v>4336.1509999999998</v>
      </c>
      <c r="K57" s="152">
        <v>4291.3469999999998</v>
      </c>
      <c r="L57" s="152">
        <v>4267.13</v>
      </c>
      <c r="M57" s="152">
        <v>4363.4750000000004</v>
      </c>
      <c r="N57" s="152">
        <v>4308.9880000000003</v>
      </c>
      <c r="O57" s="152">
        <v>4530.009</v>
      </c>
      <c r="P57" s="152">
        <v>4614.009</v>
      </c>
      <c r="Q57" s="152">
        <v>4789.8339999999998</v>
      </c>
      <c r="R57" s="42">
        <f t="shared" si="15"/>
        <v>54024.059000000001</v>
      </c>
      <c r="S57" s="79">
        <f t="shared" si="16"/>
        <v>4819.0860000000002</v>
      </c>
      <c r="T57" s="80">
        <f t="shared" si="17"/>
        <v>43893</v>
      </c>
      <c r="U57" s="29"/>
    </row>
    <row r="58" spans="1:21" ht="13.15" customHeight="1" x14ac:dyDescent="0.2">
      <c r="A58" s="26">
        <v>17</v>
      </c>
      <c r="B58" s="77" t="str">
        <f t="shared" si="14"/>
        <v xml:space="preserve">WSU - MP-A South Campus Feeder </v>
      </c>
      <c r="C58" s="78" t="str">
        <f t="shared" si="14"/>
        <v>3731710000</v>
      </c>
      <c r="D58" s="78" t="str">
        <f t="shared" si="14"/>
        <v>3730460787</v>
      </c>
      <c r="E58" s="38">
        <v>290081951</v>
      </c>
      <c r="F58" s="152">
        <v>4576.1419999999998</v>
      </c>
      <c r="G58" s="152">
        <v>4533.2479999999996</v>
      </c>
      <c r="H58" s="152">
        <v>4367.6120000000001</v>
      </c>
      <c r="I58" s="152">
        <v>3560.8429999999998</v>
      </c>
      <c r="J58" s="152">
        <v>3458.2069999999999</v>
      </c>
      <c r="K58" s="152">
        <v>3595.2219999999998</v>
      </c>
      <c r="L58" s="152">
        <v>3639.16</v>
      </c>
      <c r="M58" s="152">
        <v>3663.6329999999998</v>
      </c>
      <c r="N58" s="152">
        <v>3424.2799999999997</v>
      </c>
      <c r="O58" s="152">
        <v>3739.0639999999999</v>
      </c>
      <c r="P58" s="152">
        <v>3415.7660000000001</v>
      </c>
      <c r="Q58" s="152">
        <v>3694.4549999999999</v>
      </c>
      <c r="R58" s="42">
        <f t="shared" si="15"/>
        <v>45667.631999999998</v>
      </c>
      <c r="S58" s="79">
        <f t="shared" si="16"/>
        <v>4576.1419999999998</v>
      </c>
      <c r="T58" s="80">
        <f t="shared" si="17"/>
        <v>43831</v>
      </c>
      <c r="U58" s="29"/>
    </row>
    <row r="59" spans="1:21" ht="13.15" customHeight="1" x14ac:dyDescent="0.2">
      <c r="A59" s="26">
        <v>18</v>
      </c>
      <c r="B59" s="77" t="str">
        <f t="shared" si="14"/>
        <v xml:space="preserve">WSU - MP-B East Campus EA </v>
      </c>
      <c r="C59" s="78" t="str">
        <f t="shared" si="14"/>
        <v>6037100000</v>
      </c>
      <c r="D59" s="78" t="str">
        <f t="shared" si="14"/>
        <v>6030021572</v>
      </c>
      <c r="E59" s="38">
        <v>500033</v>
      </c>
      <c r="F59" s="152">
        <v>8067.33</v>
      </c>
      <c r="G59" s="152">
        <v>7973.07</v>
      </c>
      <c r="H59" s="152">
        <v>7208.22</v>
      </c>
      <c r="I59" s="152">
        <v>6130.79</v>
      </c>
      <c r="J59" s="152">
        <v>9217.869999999999</v>
      </c>
      <c r="K59" s="152">
        <v>10413.709999999999</v>
      </c>
      <c r="L59" s="152">
        <v>11563.9</v>
      </c>
      <c r="M59" s="152">
        <v>10087.15</v>
      </c>
      <c r="N59" s="152">
        <v>10041.16</v>
      </c>
      <c r="O59" s="152">
        <v>8239</v>
      </c>
      <c r="P59" s="152">
        <v>6913.38</v>
      </c>
      <c r="Q59" s="152">
        <v>6926.1900000000005</v>
      </c>
      <c r="R59" s="42">
        <f t="shared" si="15"/>
        <v>102781.77</v>
      </c>
      <c r="S59" s="79">
        <f t="shared" si="16"/>
        <v>11563.9</v>
      </c>
      <c r="T59" s="80">
        <f t="shared" si="17"/>
        <v>44017</v>
      </c>
      <c r="U59" s="29"/>
    </row>
    <row r="60" spans="1:21" ht="13.15" customHeight="1" x14ac:dyDescent="0.2">
      <c r="A60" s="26">
        <v>19</v>
      </c>
      <c r="B60" s="77" t="str">
        <f t="shared" si="14"/>
        <v xml:space="preserve">WSU - MP-C East Campus EB </v>
      </c>
      <c r="C60" s="78" t="str">
        <f t="shared" si="14"/>
        <v>6100220000</v>
      </c>
      <c r="D60" s="78" t="str">
        <f t="shared" si="14"/>
        <v>6100609210</v>
      </c>
      <c r="E60" s="38">
        <v>410031282</v>
      </c>
      <c r="F60" s="152">
        <v>5753.1909999999998</v>
      </c>
      <c r="G60" s="152">
        <v>5494.942</v>
      </c>
      <c r="H60" s="152">
        <v>5083.5830000000005</v>
      </c>
      <c r="I60" s="152">
        <v>4604.6099999999997</v>
      </c>
      <c r="J60" s="152">
        <v>4291.9970000000003</v>
      </c>
      <c r="K60" s="152">
        <v>4555.8230000000003</v>
      </c>
      <c r="L60" s="152">
        <v>4555.1130000000003</v>
      </c>
      <c r="M60" s="152">
        <v>4501.9079999999994</v>
      </c>
      <c r="N60" s="152">
        <v>4447.3739999999998</v>
      </c>
      <c r="O60" s="152">
        <v>5242.9629999999997</v>
      </c>
      <c r="P60" s="152">
        <v>5501.9439999999995</v>
      </c>
      <c r="Q60" s="152">
        <v>5510.3760000000002</v>
      </c>
      <c r="R60" s="42">
        <f t="shared" si="15"/>
        <v>59543.824000000008</v>
      </c>
      <c r="S60" s="79">
        <f t="shared" si="16"/>
        <v>5753.1909999999998</v>
      </c>
      <c r="T60" s="80">
        <f t="shared" si="17"/>
        <v>43831</v>
      </c>
      <c r="U60" s="29"/>
    </row>
    <row r="61" spans="1:21" ht="13.15" customHeight="1" x14ac:dyDescent="0.2">
      <c r="A61" s="26">
        <v>20</v>
      </c>
      <c r="B61" s="160" t="str">
        <f t="shared" si="14"/>
        <v>WSU - MP -D Casp East (no PVD)</v>
      </c>
      <c r="C61" s="161" t="str">
        <f t="shared" si="14"/>
        <v>5037100000</v>
      </c>
      <c r="D61" s="161" t="str">
        <f t="shared" si="14"/>
        <v>5030019646</v>
      </c>
      <c r="E61" s="162">
        <v>500032</v>
      </c>
      <c r="F61" s="163">
        <v>4950.1840000000002</v>
      </c>
      <c r="G61" s="163">
        <v>5009.4059999999999</v>
      </c>
      <c r="H61" s="163">
        <v>4668.3270000000002</v>
      </c>
      <c r="I61" s="163">
        <v>3720.817</v>
      </c>
      <c r="J61" s="163">
        <v>3608.63</v>
      </c>
      <c r="K61" s="163">
        <v>3514.3589999999999</v>
      </c>
      <c r="L61" s="163">
        <v>3506.8850000000002</v>
      </c>
      <c r="M61" s="163">
        <v>3698.0169999999998</v>
      </c>
      <c r="N61" s="163">
        <v>3625.413</v>
      </c>
      <c r="O61" s="163">
        <v>4112.3810000000003</v>
      </c>
      <c r="P61" s="163">
        <v>4321.8739999999998</v>
      </c>
      <c r="Q61" s="163">
        <v>4276.7089999999998</v>
      </c>
      <c r="R61" s="157">
        <f t="shared" si="15"/>
        <v>49013.002000000008</v>
      </c>
      <c r="S61" s="164">
        <f t="shared" si="16"/>
        <v>5009.4059999999999</v>
      </c>
      <c r="T61" s="165">
        <f t="shared" si="17"/>
        <v>43862</v>
      </c>
      <c r="U61" s="166"/>
    </row>
    <row r="62" spans="1:21" ht="13.15" customHeight="1" x14ac:dyDescent="0.2">
      <c r="A62" s="26">
        <v>21</v>
      </c>
      <c r="B62" s="160" t="str">
        <f t="shared" si="14"/>
        <v>WSU - MP-E Casp West (no PVD)</v>
      </c>
      <c r="C62" s="161" t="str">
        <f t="shared" si="14"/>
        <v>6365350762</v>
      </c>
      <c r="D62" s="161" t="str">
        <f t="shared" si="14"/>
        <v>7030024549</v>
      </c>
      <c r="E62" s="162">
        <v>500034</v>
      </c>
      <c r="F62" s="163">
        <v>4134.2719999999999</v>
      </c>
      <c r="G62" s="163">
        <v>4193.424</v>
      </c>
      <c r="H62" s="163">
        <v>3920.9760000000001</v>
      </c>
      <c r="I62" s="163">
        <v>4404.9049999999997</v>
      </c>
      <c r="J62" s="163">
        <v>3914.877</v>
      </c>
      <c r="K62" s="163">
        <v>5232.4619999999995</v>
      </c>
      <c r="L62" s="163">
        <v>5605.3429999999998</v>
      </c>
      <c r="M62" s="163">
        <v>5744.26</v>
      </c>
      <c r="N62" s="163">
        <v>5641.9690000000001</v>
      </c>
      <c r="O62" s="163">
        <v>5296.9989999999998</v>
      </c>
      <c r="P62" s="163">
        <v>2720.43</v>
      </c>
      <c r="Q62" s="163">
        <v>2861.732</v>
      </c>
      <c r="R62" s="157">
        <f t="shared" si="15"/>
        <v>53671.64899999999</v>
      </c>
      <c r="S62" s="164">
        <f t="shared" si="16"/>
        <v>5744.26</v>
      </c>
      <c r="T62" s="165">
        <f t="shared" si="17"/>
        <v>44048</v>
      </c>
      <c r="U62" s="166"/>
    </row>
    <row r="63" spans="1:21" ht="13.15" customHeight="1" x14ac:dyDescent="0.2">
      <c r="A63" s="26">
        <v>22</v>
      </c>
      <c r="B63" s="160" t="str">
        <f t="shared" ref="B63:D63" si="18">B25</f>
        <v>Goodrich - South 2311155858 (No PVD)</v>
      </c>
      <c r="C63" s="161" t="str">
        <f t="shared" si="18"/>
        <v>2317650000</v>
      </c>
      <c r="D63" s="161">
        <f t="shared" si="18"/>
        <v>2311155858</v>
      </c>
      <c r="E63" s="162"/>
      <c r="F63" s="163">
        <v>5943.0749999999998</v>
      </c>
      <c r="G63" s="163">
        <v>6348.82</v>
      </c>
      <c r="H63" s="163">
        <v>10210.038</v>
      </c>
      <c r="I63" s="163">
        <v>5963.5869999999995</v>
      </c>
      <c r="J63" s="163">
        <v>4365.558</v>
      </c>
      <c r="K63" s="163">
        <v>3171.6469999999999</v>
      </c>
      <c r="L63" s="163">
        <v>1669.4010000000001</v>
      </c>
      <c r="M63" s="163">
        <v>3823.8</v>
      </c>
      <c r="N63" s="163">
        <v>5636.4660000000003</v>
      </c>
      <c r="O63" s="163">
        <v>4145.3999999999996</v>
      </c>
      <c r="P63" s="163">
        <v>1621.652</v>
      </c>
      <c r="Q63" s="163">
        <v>1261.182</v>
      </c>
      <c r="R63" s="157">
        <f t="shared" si="15"/>
        <v>54160.626000000004</v>
      </c>
      <c r="S63" s="164">
        <f t="shared" ref="S63:S64" si="19">MAX(F63:Q63)</f>
        <v>10210.038</v>
      </c>
      <c r="T63" s="165">
        <f t="shared" ref="T63:T64" si="20">INDEX($F$41:$Q$41,MATCH(S63,$F63:$Q63,0))</f>
        <v>43893</v>
      </c>
      <c r="U63" s="166"/>
    </row>
    <row r="64" spans="1:21" ht="13.15" customHeight="1" x14ac:dyDescent="0.2">
      <c r="A64" s="26">
        <v>23</v>
      </c>
      <c r="B64" s="77" t="str">
        <f t="shared" ref="B64:D64" si="21">B26</f>
        <v>Boise Cascade LLC Inland Region</v>
      </c>
      <c r="C64" s="78" t="str">
        <f t="shared" si="21"/>
        <v>7600430000</v>
      </c>
      <c r="D64" s="78">
        <f t="shared" si="21"/>
        <v>7600951015</v>
      </c>
      <c r="E64" s="38"/>
      <c r="F64" s="152">
        <v>3815.2829999999999</v>
      </c>
      <c r="G64" s="152">
        <v>3778.3379999999997</v>
      </c>
      <c r="H64" s="152">
        <v>3650.7159999999999</v>
      </c>
      <c r="I64" s="152">
        <f>6932.62-3466.31</f>
        <v>3466.31</v>
      </c>
      <c r="J64" s="152">
        <v>3820.68</v>
      </c>
      <c r="K64" s="152">
        <f>18257.33-14354.73</f>
        <v>3902.6000000000022</v>
      </c>
      <c r="L64" s="152">
        <f>4049.65-368.15</f>
        <v>3681.5</v>
      </c>
      <c r="M64" s="152">
        <v>3585.799</v>
      </c>
      <c r="N64" s="152">
        <v>3683.2489999999998</v>
      </c>
      <c r="O64" s="152">
        <v>3565.1350000000002</v>
      </c>
      <c r="P64" s="152">
        <v>3777.6309999999999</v>
      </c>
      <c r="Q64" s="152">
        <v>3766.1660000000002</v>
      </c>
      <c r="R64" s="50">
        <f t="shared" si="15"/>
        <v>44493.406999999999</v>
      </c>
      <c r="S64" s="79">
        <f t="shared" si="19"/>
        <v>3902.6000000000022</v>
      </c>
      <c r="T64" s="80">
        <f t="shared" si="20"/>
        <v>43986</v>
      </c>
      <c r="U64" s="29"/>
    </row>
    <row r="65" spans="1:18" ht="13.15" customHeight="1" x14ac:dyDescent="0.2">
      <c r="A65" s="26" t="s">
        <v>156</v>
      </c>
      <c r="F65" s="81">
        <f>SUM(F42:F64)</f>
        <v>169602.13</v>
      </c>
      <c r="G65" s="81">
        <f t="shared" ref="G65:Q65" si="22">SUM(G42:G64)</f>
        <v>166429.83899999998</v>
      </c>
      <c r="H65" s="81">
        <f t="shared" si="22"/>
        <v>170850.00099999996</v>
      </c>
      <c r="I65" s="81">
        <f t="shared" si="22"/>
        <v>163491.63999999998</v>
      </c>
      <c r="J65" s="81">
        <f t="shared" si="22"/>
        <v>166497.28200000001</v>
      </c>
      <c r="K65" s="81">
        <f t="shared" si="22"/>
        <v>166423.356</v>
      </c>
      <c r="L65" s="81">
        <f t="shared" si="22"/>
        <v>168599.69899999999</v>
      </c>
      <c r="M65" s="81">
        <f t="shared" si="22"/>
        <v>168815.21699999998</v>
      </c>
      <c r="N65" s="81">
        <f t="shared" si="22"/>
        <v>169871.33700000006</v>
      </c>
      <c r="O65" s="81">
        <f t="shared" si="22"/>
        <v>169537.14300000001</v>
      </c>
      <c r="P65" s="81">
        <f t="shared" si="22"/>
        <v>151850.05600000001</v>
      </c>
      <c r="Q65" s="81">
        <f t="shared" si="22"/>
        <v>153198.46</v>
      </c>
      <c r="R65" s="82">
        <f>IF(ROUND(SUM(R42:R64),0)&lt;&gt;ROUND(SUM(F65:Q65),0),#VALUE!,SUM(R42:R64))</f>
        <v>1985166.16</v>
      </c>
    </row>
    <row r="66" spans="1:18" ht="13.15" customHeight="1" x14ac:dyDescent="0.2">
      <c r="F66" s="84"/>
      <c r="G66" s="84"/>
      <c r="H66" s="84"/>
      <c r="I66" s="84"/>
      <c r="J66" s="84"/>
      <c r="K66" s="84"/>
      <c r="L66" s="84"/>
      <c r="M66" s="84"/>
      <c r="N66" s="84"/>
      <c r="O66" s="85"/>
      <c r="P66" s="85"/>
      <c r="Q66" s="86"/>
      <c r="R66" s="85"/>
    </row>
    <row r="67" spans="1:18" ht="13.15" customHeight="1" x14ac:dyDescent="0.2">
      <c r="F67" s="46"/>
      <c r="G67" s="46"/>
      <c r="H67" s="46"/>
      <c r="I67" s="46"/>
      <c r="J67" s="46"/>
      <c r="K67" s="46"/>
      <c r="L67" s="46"/>
      <c r="M67" s="46"/>
      <c r="N67" s="46"/>
      <c r="O67" s="56"/>
      <c r="P67" s="56"/>
      <c r="Q67" s="57"/>
      <c r="R67" s="29" t="str">
        <f>R$2</f>
        <v>12-mo Ended</v>
      </c>
    </row>
    <row r="68" spans="1:18" ht="13.15" customHeight="1" x14ac:dyDescent="0.2">
      <c r="A68" s="32" t="s">
        <v>167</v>
      </c>
      <c r="B68" s="32"/>
      <c r="C68" s="32"/>
      <c r="D68" s="32"/>
      <c r="F68" s="75">
        <f>F$3</f>
        <v>43831</v>
      </c>
      <c r="G68" s="75">
        <f t="shared" ref="G68:Q68" si="23">G$3</f>
        <v>43862</v>
      </c>
      <c r="H68" s="75">
        <f t="shared" si="23"/>
        <v>43893</v>
      </c>
      <c r="I68" s="75">
        <f t="shared" si="23"/>
        <v>43924</v>
      </c>
      <c r="J68" s="75">
        <f t="shared" si="23"/>
        <v>43955</v>
      </c>
      <c r="K68" s="75">
        <f t="shared" si="23"/>
        <v>43986</v>
      </c>
      <c r="L68" s="75">
        <f t="shared" si="23"/>
        <v>44017</v>
      </c>
      <c r="M68" s="75">
        <f t="shared" si="23"/>
        <v>44048</v>
      </c>
      <c r="N68" s="75">
        <f t="shared" si="23"/>
        <v>44079</v>
      </c>
      <c r="O68" s="36">
        <f t="shared" si="23"/>
        <v>44110</v>
      </c>
      <c r="P68" s="36">
        <f t="shared" si="23"/>
        <v>44141</v>
      </c>
      <c r="Q68" s="76">
        <f t="shared" si="23"/>
        <v>44172</v>
      </c>
      <c r="R68" s="29" t="s">
        <v>13</v>
      </c>
    </row>
    <row r="69" spans="1:18" ht="13.15" customHeight="1" x14ac:dyDescent="0.2">
      <c r="A69" s="26">
        <v>1</v>
      </c>
      <c r="B69" s="34" t="str">
        <f t="shared" ref="B69:E89" si="24">B4</f>
        <v>Goodrich - North 2311008572</v>
      </c>
      <c r="C69" s="34" t="str">
        <f t="shared" si="24"/>
        <v>2317650000</v>
      </c>
      <c r="D69" s="34" t="str">
        <f t="shared" si="24"/>
        <v>2311008572</v>
      </c>
      <c r="E69" s="34">
        <f t="shared" si="24"/>
        <v>770037736</v>
      </c>
      <c r="F69" s="50">
        <f t="shared" ref="F69:H76" si="25">IF(F42&gt;3000,F42-3000,0)</f>
        <v>3811.1930000000002</v>
      </c>
      <c r="G69" s="50">
        <f t="shared" si="25"/>
        <v>3650.1319999999996</v>
      </c>
      <c r="H69" s="50">
        <f t="shared" si="25"/>
        <v>3792.9830000000002</v>
      </c>
      <c r="I69" s="50">
        <f t="shared" ref="I69:Q69" si="26">MAX(0,I42-3000)</f>
        <v>4463.46</v>
      </c>
      <c r="J69" s="50">
        <f t="shared" si="26"/>
        <v>3281.5149999999994</v>
      </c>
      <c r="K69" s="50">
        <f t="shared" si="26"/>
        <v>1476.38</v>
      </c>
      <c r="L69" s="50">
        <f t="shared" si="26"/>
        <v>0</v>
      </c>
      <c r="M69" s="50">
        <f t="shared" si="26"/>
        <v>790.04100000000017</v>
      </c>
      <c r="N69" s="50">
        <f t="shared" si="26"/>
        <v>1506.9439999999995</v>
      </c>
      <c r="O69" s="87">
        <f t="shared" si="26"/>
        <v>2260.1039999999994</v>
      </c>
      <c r="P69" s="87">
        <f t="shared" si="26"/>
        <v>141.65900000000011</v>
      </c>
      <c r="Q69" s="88">
        <f t="shared" si="26"/>
        <v>0</v>
      </c>
      <c r="R69" s="42">
        <f t="shared" ref="R69:R89" si="27">SUM(F69:Q69)</f>
        <v>25174.411</v>
      </c>
    </row>
    <row r="70" spans="1:18" ht="13.15" customHeight="1" x14ac:dyDescent="0.2">
      <c r="A70" s="26">
        <v>2</v>
      </c>
      <c r="B70" s="34" t="str">
        <f t="shared" si="24"/>
        <v>Boise Cascade Plywood</v>
      </c>
      <c r="C70" s="34" t="str">
        <f t="shared" si="24"/>
        <v>8927100000</v>
      </c>
      <c r="D70" s="34" t="str">
        <f t="shared" si="24"/>
        <v>8920023327</v>
      </c>
      <c r="E70" s="34">
        <f t="shared" si="24"/>
        <v>500017</v>
      </c>
      <c r="F70" s="50">
        <f t="shared" si="25"/>
        <v>2170.7579999999998</v>
      </c>
      <c r="G70" s="50">
        <f t="shared" si="25"/>
        <v>2298.4030000000002</v>
      </c>
      <c r="H70" s="50">
        <f t="shared" si="25"/>
        <v>2392.5779999999995</v>
      </c>
      <c r="I70" s="50">
        <f t="shared" ref="I70:Q70" si="28">MAX(0,I43-3000)</f>
        <v>1991.2190000000001</v>
      </c>
      <c r="J70" s="50">
        <f t="shared" si="28"/>
        <v>2160.098</v>
      </c>
      <c r="K70" s="50">
        <f t="shared" si="28"/>
        <v>2178.3209999999999</v>
      </c>
      <c r="L70" s="50">
        <f t="shared" si="28"/>
        <v>2200.6869999999999</v>
      </c>
      <c r="M70" s="50">
        <f t="shared" si="28"/>
        <v>2056.46</v>
      </c>
      <c r="N70" s="50">
        <f t="shared" si="28"/>
        <v>2223.915</v>
      </c>
      <c r="O70" s="87">
        <f t="shared" si="28"/>
        <v>2283.4009999999998</v>
      </c>
      <c r="P70" s="87">
        <f t="shared" si="28"/>
        <v>2252.7649999999994</v>
      </c>
      <c r="Q70" s="88">
        <f t="shared" si="28"/>
        <v>2340.2629999999999</v>
      </c>
      <c r="R70" s="42">
        <f t="shared" si="27"/>
        <v>26548.867999999995</v>
      </c>
    </row>
    <row r="71" spans="1:18" ht="13.15" customHeight="1" x14ac:dyDescent="0.2">
      <c r="A71" s="26">
        <v>3</v>
      </c>
      <c r="B71" s="34" t="str">
        <f t="shared" si="24"/>
        <v>Boise Cascade Sawmill</v>
      </c>
      <c r="C71" s="34" t="str">
        <f t="shared" si="24"/>
        <v>9927100000</v>
      </c>
      <c r="D71" s="34" t="str">
        <f t="shared" si="24"/>
        <v>9920023116</v>
      </c>
      <c r="E71" s="34">
        <f t="shared" si="24"/>
        <v>500018</v>
      </c>
      <c r="F71" s="50">
        <f t="shared" si="25"/>
        <v>0</v>
      </c>
      <c r="G71" s="50">
        <f t="shared" si="25"/>
        <v>0</v>
      </c>
      <c r="H71" s="50">
        <f t="shared" si="25"/>
        <v>0</v>
      </c>
      <c r="I71" s="50">
        <f t="shared" ref="I71:Q71" si="29">MAX(0,I44-3000)</f>
        <v>0</v>
      </c>
      <c r="J71" s="50">
        <f t="shared" si="29"/>
        <v>0</v>
      </c>
      <c r="K71" s="50">
        <f t="shared" si="29"/>
        <v>0</v>
      </c>
      <c r="L71" s="50">
        <f t="shared" si="29"/>
        <v>0</v>
      </c>
      <c r="M71" s="50">
        <f t="shared" si="29"/>
        <v>0</v>
      </c>
      <c r="N71" s="50">
        <f t="shared" si="29"/>
        <v>0</v>
      </c>
      <c r="O71" s="87">
        <f t="shared" si="29"/>
        <v>0</v>
      </c>
      <c r="P71" s="87">
        <f t="shared" si="29"/>
        <v>0</v>
      </c>
      <c r="Q71" s="88">
        <f t="shared" si="29"/>
        <v>0</v>
      </c>
      <c r="R71" s="42">
        <f t="shared" si="27"/>
        <v>0</v>
      </c>
    </row>
    <row r="72" spans="1:18" ht="13.15" customHeight="1" x14ac:dyDescent="0.2">
      <c r="A72" s="26">
        <v>4</v>
      </c>
      <c r="B72" s="34" t="str">
        <f t="shared" si="24"/>
        <v>City of Spokane</v>
      </c>
      <c r="C72" s="34" t="str">
        <f t="shared" si="24"/>
        <v>8972300000</v>
      </c>
      <c r="D72" s="34" t="str">
        <f t="shared" si="24"/>
        <v>8970099313</v>
      </c>
      <c r="E72" s="34">
        <f t="shared" si="24"/>
        <v>1900002</v>
      </c>
      <c r="F72" s="50">
        <f t="shared" si="25"/>
        <v>0</v>
      </c>
      <c r="G72" s="50">
        <f t="shared" si="25"/>
        <v>0</v>
      </c>
      <c r="H72" s="50">
        <f t="shared" si="25"/>
        <v>0</v>
      </c>
      <c r="I72" s="50">
        <f t="shared" ref="I72:Q72" si="30">MAX(0,I45-3000)</f>
        <v>0</v>
      </c>
      <c r="J72" s="50">
        <f t="shared" si="30"/>
        <v>0</v>
      </c>
      <c r="K72" s="50">
        <f t="shared" si="30"/>
        <v>0</v>
      </c>
      <c r="L72" s="50">
        <f t="shared" si="30"/>
        <v>0</v>
      </c>
      <c r="M72" s="50">
        <f t="shared" si="30"/>
        <v>0</v>
      </c>
      <c r="N72" s="50">
        <f t="shared" si="30"/>
        <v>0</v>
      </c>
      <c r="O72" s="87">
        <f t="shared" si="30"/>
        <v>0</v>
      </c>
      <c r="P72" s="87">
        <f t="shared" si="30"/>
        <v>0</v>
      </c>
      <c r="Q72" s="88">
        <f t="shared" si="30"/>
        <v>0</v>
      </c>
      <c r="R72" s="42">
        <f t="shared" si="27"/>
        <v>0</v>
      </c>
    </row>
    <row r="73" spans="1:18" ht="13.15" customHeight="1" x14ac:dyDescent="0.2">
      <c r="A73" s="26">
        <v>5</v>
      </c>
      <c r="B73" s="34" t="str">
        <f t="shared" si="24"/>
        <v>Empire Health Services</v>
      </c>
      <c r="C73" s="34" t="str">
        <f t="shared" si="24"/>
        <v>0082300000</v>
      </c>
      <c r="D73" s="34" t="str">
        <f t="shared" si="24"/>
        <v>0080095044</v>
      </c>
      <c r="E73" s="34">
        <f t="shared" si="24"/>
        <v>1900011</v>
      </c>
      <c r="F73" s="50">
        <f t="shared" si="25"/>
        <v>0</v>
      </c>
      <c r="G73" s="50">
        <f t="shared" si="25"/>
        <v>0</v>
      </c>
      <c r="H73" s="50">
        <f t="shared" si="25"/>
        <v>0</v>
      </c>
      <c r="I73" s="50">
        <f t="shared" ref="I73:Q73" si="31">MAX(0,I46-3000)</f>
        <v>0</v>
      </c>
      <c r="J73" s="50">
        <f t="shared" si="31"/>
        <v>409.471</v>
      </c>
      <c r="K73" s="50">
        <f t="shared" si="31"/>
        <v>606.33699999999999</v>
      </c>
      <c r="L73" s="50">
        <f t="shared" si="31"/>
        <v>742.32999999999993</v>
      </c>
      <c r="M73" s="50">
        <f t="shared" si="31"/>
        <v>676.39899999999989</v>
      </c>
      <c r="N73" s="50">
        <f t="shared" si="31"/>
        <v>667.05600000000004</v>
      </c>
      <c r="O73" s="87">
        <f t="shared" si="31"/>
        <v>0</v>
      </c>
      <c r="P73" s="87">
        <f t="shared" si="31"/>
        <v>0</v>
      </c>
      <c r="Q73" s="88">
        <f t="shared" si="31"/>
        <v>0</v>
      </c>
      <c r="R73" s="42">
        <f t="shared" si="27"/>
        <v>3101.5929999999998</v>
      </c>
    </row>
    <row r="74" spans="1:18" ht="13.15" customHeight="1" x14ac:dyDescent="0.2">
      <c r="A74" s="26">
        <v>6</v>
      </c>
      <c r="B74" s="34" t="str">
        <f t="shared" si="24"/>
        <v>Gonzaga University</v>
      </c>
      <c r="C74" s="34" t="str">
        <f t="shared" si="24"/>
        <v>1423850000</v>
      </c>
      <c r="D74" s="34" t="str">
        <f t="shared" si="24"/>
        <v>1420028876</v>
      </c>
      <c r="E74" s="34">
        <f t="shared" si="24"/>
        <v>622922</v>
      </c>
      <c r="F74" s="50">
        <f t="shared" si="25"/>
        <v>1629.0360000000001</v>
      </c>
      <c r="G74" s="50">
        <f t="shared" si="25"/>
        <v>1616.8090000000002</v>
      </c>
      <c r="H74" s="50">
        <f t="shared" si="25"/>
        <v>991.76699999999983</v>
      </c>
      <c r="I74" s="50">
        <f t="shared" ref="I74:Q74" si="32">MAX(0,I47-3000)</f>
        <v>0</v>
      </c>
      <c r="J74" s="50">
        <f t="shared" si="32"/>
        <v>0</v>
      </c>
      <c r="K74" s="50">
        <f t="shared" si="32"/>
        <v>0</v>
      </c>
      <c r="L74" s="50">
        <f t="shared" si="32"/>
        <v>1764.6790000000001</v>
      </c>
      <c r="M74" s="50">
        <f t="shared" si="32"/>
        <v>2011.6220000000003</v>
      </c>
      <c r="N74" s="50">
        <f t="shared" si="32"/>
        <v>2226.3519999999999</v>
      </c>
      <c r="O74" s="87">
        <f t="shared" si="32"/>
        <v>1533.9780000000001</v>
      </c>
      <c r="P74" s="87">
        <f t="shared" si="32"/>
        <v>1186.8609999999999</v>
      </c>
      <c r="Q74" s="88">
        <f t="shared" si="32"/>
        <v>923.1239999999998</v>
      </c>
      <c r="R74" s="42">
        <f t="shared" si="27"/>
        <v>13884.227999999999</v>
      </c>
    </row>
    <row r="75" spans="1:18" ht="13.15" customHeight="1" x14ac:dyDescent="0.2">
      <c r="A75" s="26">
        <v>7</v>
      </c>
      <c r="B75" s="34" t="str">
        <f t="shared" si="24"/>
        <v>Honeywell Electronics</v>
      </c>
      <c r="C75" s="34" t="str">
        <f t="shared" si="24"/>
        <v>0177400000</v>
      </c>
      <c r="D75" s="34" t="str">
        <f t="shared" si="24"/>
        <v>0170122152</v>
      </c>
      <c r="E75" s="34">
        <f t="shared" si="24"/>
        <v>2304636</v>
      </c>
      <c r="F75" s="50">
        <f t="shared" si="25"/>
        <v>19.766999999999825</v>
      </c>
      <c r="G75" s="50">
        <f t="shared" si="25"/>
        <v>0</v>
      </c>
      <c r="H75" s="50">
        <f t="shared" si="25"/>
        <v>98.532000000000153</v>
      </c>
      <c r="I75" s="50">
        <f t="shared" ref="I75:Q75" si="33">MAX(0,I48-3000)</f>
        <v>56.907999999999902</v>
      </c>
      <c r="J75" s="50">
        <f t="shared" si="33"/>
        <v>102.53800000000001</v>
      </c>
      <c r="K75" s="50">
        <f t="shared" si="33"/>
        <v>365.10399999999981</v>
      </c>
      <c r="L75" s="50">
        <f t="shared" si="33"/>
        <v>486.69900000000007</v>
      </c>
      <c r="M75" s="50">
        <f t="shared" si="33"/>
        <v>696.16600000000017</v>
      </c>
      <c r="N75" s="50">
        <f t="shared" si="33"/>
        <v>173.31899999999996</v>
      </c>
      <c r="O75" s="87">
        <f t="shared" si="33"/>
        <v>63.733000000000175</v>
      </c>
      <c r="P75" s="87">
        <f t="shared" si="33"/>
        <v>184.97200000000021</v>
      </c>
      <c r="Q75" s="88">
        <f t="shared" si="33"/>
        <v>21.739000000000033</v>
      </c>
      <c r="R75" s="42">
        <f t="shared" si="27"/>
        <v>2269.4770000000003</v>
      </c>
    </row>
    <row r="76" spans="1:18" ht="13.15" customHeight="1" x14ac:dyDescent="0.2">
      <c r="A76" s="26">
        <v>8</v>
      </c>
      <c r="B76" s="34" t="str">
        <f t="shared" si="24"/>
        <v>Huntwood Industries</v>
      </c>
      <c r="C76" s="34" t="str">
        <f t="shared" si="24"/>
        <v>8649170000</v>
      </c>
      <c r="D76" s="34" t="str">
        <f t="shared" si="24"/>
        <v>8640841982</v>
      </c>
      <c r="E76" s="34">
        <f t="shared" si="24"/>
        <v>610074869</v>
      </c>
      <c r="F76" s="50">
        <f t="shared" si="25"/>
        <v>1321.9120000000003</v>
      </c>
      <c r="G76" s="50">
        <f t="shared" si="25"/>
        <v>1347.29</v>
      </c>
      <c r="H76" s="50">
        <f t="shared" si="25"/>
        <v>1311.3279999999995</v>
      </c>
      <c r="I76" s="50">
        <f t="shared" ref="I76:Q76" si="34">MAX(0,I49-3000)</f>
        <v>1122.9880000000003</v>
      </c>
      <c r="J76" s="50">
        <f t="shared" si="34"/>
        <v>1225.5010000000002</v>
      </c>
      <c r="K76" s="50">
        <f t="shared" si="34"/>
        <v>1322.1450000000004</v>
      </c>
      <c r="L76" s="50">
        <f t="shared" si="34"/>
        <v>1709.674</v>
      </c>
      <c r="M76" s="50">
        <f t="shared" si="34"/>
        <v>1332.7979999999998</v>
      </c>
      <c r="N76" s="50">
        <f t="shared" si="34"/>
        <v>1243.6959999999999</v>
      </c>
      <c r="O76" s="87">
        <f t="shared" si="34"/>
        <v>1226.21</v>
      </c>
      <c r="P76" s="87">
        <f t="shared" si="34"/>
        <v>1182.5969999999998</v>
      </c>
      <c r="Q76" s="88">
        <f t="shared" si="34"/>
        <v>1286.3320000000003</v>
      </c>
      <c r="R76" s="42">
        <f t="shared" si="27"/>
        <v>15632.470999999998</v>
      </c>
    </row>
    <row r="77" spans="1:18" ht="13.15" customHeight="1" x14ac:dyDescent="0.2">
      <c r="A77" s="26">
        <v>9</v>
      </c>
      <c r="B77" s="34" t="str">
        <f t="shared" si="24"/>
        <v>Inland Empire Paper</v>
      </c>
      <c r="C77" s="34" t="str">
        <f t="shared" si="24"/>
        <v>0166400000</v>
      </c>
      <c r="D77" s="34" t="str">
        <f t="shared" si="24"/>
        <v>0160126924</v>
      </c>
      <c r="E77" s="34">
        <f t="shared" si="24"/>
        <v>2500004</v>
      </c>
      <c r="F77" s="50">
        <f>MAX(0,F50-3000)</f>
        <v>59712.37</v>
      </c>
      <c r="G77" s="50">
        <f>MAX(0,G50-3000)</f>
        <v>56414.75</v>
      </c>
      <c r="H77" s="50">
        <f>MAX(0,H50-3000)</f>
        <v>58789.32</v>
      </c>
      <c r="I77" s="50">
        <f t="shared" ref="I77:Q77" si="35">MAX(0,I50-3000)</f>
        <v>60519.94</v>
      </c>
      <c r="J77" s="50">
        <f t="shared" si="35"/>
        <v>61742</v>
      </c>
      <c r="K77" s="50">
        <f t="shared" si="35"/>
        <v>59373.120000000003</v>
      </c>
      <c r="L77" s="50">
        <f t="shared" si="35"/>
        <v>60195.15</v>
      </c>
      <c r="M77" s="50">
        <f t="shared" si="35"/>
        <v>59148.44</v>
      </c>
      <c r="N77" s="50">
        <f t="shared" si="35"/>
        <v>58970.84</v>
      </c>
      <c r="O77" s="87">
        <f t="shared" si="35"/>
        <v>58982.28</v>
      </c>
      <c r="P77" s="87">
        <f t="shared" si="35"/>
        <v>57622.5</v>
      </c>
      <c r="Q77" s="88">
        <f t="shared" si="35"/>
        <v>58249.43</v>
      </c>
      <c r="R77" s="42">
        <f t="shared" si="27"/>
        <v>709720.14000000013</v>
      </c>
    </row>
    <row r="78" spans="1:18" ht="13.15" customHeight="1" x14ac:dyDescent="0.2">
      <c r="A78" s="26">
        <v>10</v>
      </c>
      <c r="B78" s="34" t="str">
        <f t="shared" si="24"/>
        <v>Simplot - Othello</v>
      </c>
      <c r="C78" s="34" t="str">
        <f t="shared" si="24"/>
        <v>4258610000</v>
      </c>
      <c r="D78" s="34" t="str">
        <f t="shared" si="24"/>
        <v>4250473907</v>
      </c>
      <c r="E78" s="34">
        <f t="shared" si="24"/>
        <v>290048778</v>
      </c>
      <c r="F78" s="50">
        <f t="shared" ref="F78:H89" si="36">IF(F51&gt;3000,F51-3000,0)</f>
        <v>5318.6719999999987</v>
      </c>
      <c r="G78" s="50">
        <f t="shared" si="36"/>
        <v>5082.4629999999997</v>
      </c>
      <c r="H78" s="50">
        <f t="shared" si="36"/>
        <v>5302.094000000001</v>
      </c>
      <c r="I78" s="50">
        <f t="shared" ref="I78:Q78" si="37">MAX(0,I51-3000)</f>
        <v>5359.0640000000003</v>
      </c>
      <c r="J78" s="50">
        <f t="shared" si="37"/>
        <v>5672.8119999999999</v>
      </c>
      <c r="K78" s="50">
        <f t="shared" si="37"/>
        <v>5678.0839999999989</v>
      </c>
      <c r="L78" s="50">
        <f t="shared" si="37"/>
        <v>5781.5410000000011</v>
      </c>
      <c r="M78" s="50">
        <f t="shared" si="37"/>
        <v>5616.1939999999995</v>
      </c>
      <c r="N78" s="50">
        <f t="shared" si="37"/>
        <v>5685.4589999999989</v>
      </c>
      <c r="O78" s="87">
        <f t="shared" si="37"/>
        <v>5544.5299999999988</v>
      </c>
      <c r="P78" s="87">
        <f t="shared" si="37"/>
        <v>5419.1409999999996</v>
      </c>
      <c r="Q78" s="88">
        <f t="shared" si="37"/>
        <v>5590.273000000001</v>
      </c>
      <c r="R78" s="42">
        <f t="shared" si="27"/>
        <v>66050.327000000005</v>
      </c>
    </row>
    <row r="79" spans="1:18" ht="13.15" customHeight="1" x14ac:dyDescent="0.2">
      <c r="A79" s="26">
        <v>11</v>
      </c>
      <c r="B79" s="34" t="str">
        <f t="shared" si="24"/>
        <v>McCaine Foods Inc</v>
      </c>
      <c r="C79" s="34" t="str">
        <f t="shared" si="24"/>
        <v>9066400000</v>
      </c>
      <c r="D79" s="34" t="str">
        <f t="shared" si="24"/>
        <v>9060132009</v>
      </c>
      <c r="E79" s="34">
        <f t="shared" si="24"/>
        <v>2500003</v>
      </c>
      <c r="F79" s="50">
        <f t="shared" si="36"/>
        <v>5571.1270000000004</v>
      </c>
      <c r="G79" s="50">
        <f t="shared" si="36"/>
        <v>5686.1440000000002</v>
      </c>
      <c r="H79" s="50">
        <f t="shared" si="36"/>
        <v>5747.7420000000002</v>
      </c>
      <c r="I79" s="50">
        <f t="shared" ref="I79:Q79" si="38">MAX(0,I52-3000)</f>
        <v>5418.8700000000008</v>
      </c>
      <c r="J79" s="50">
        <f t="shared" si="38"/>
        <v>5274.0740000000005</v>
      </c>
      <c r="K79" s="50">
        <f t="shared" si="38"/>
        <v>5960.2219999999998</v>
      </c>
      <c r="L79" s="50">
        <f t="shared" si="38"/>
        <v>6052.7219999999998</v>
      </c>
      <c r="M79" s="50">
        <f t="shared" si="38"/>
        <v>5825.9369999999999</v>
      </c>
      <c r="N79" s="50">
        <f t="shared" si="38"/>
        <v>5803.023000000001</v>
      </c>
      <c r="O79" s="87">
        <f t="shared" si="38"/>
        <v>8775.1640000000007</v>
      </c>
      <c r="P79" s="87">
        <f t="shared" si="38"/>
        <v>5587.0570000000007</v>
      </c>
      <c r="Q79" s="88">
        <f t="shared" si="38"/>
        <v>5656.4939999999988</v>
      </c>
      <c r="R79" s="42">
        <f t="shared" si="27"/>
        <v>71358.576000000001</v>
      </c>
    </row>
    <row r="80" spans="1:18" ht="13.15" customHeight="1" x14ac:dyDescent="0.2">
      <c r="A80" s="26">
        <v>12</v>
      </c>
      <c r="B80" s="34" t="str">
        <f t="shared" si="24"/>
        <v>Sacred Heart Medical Center</v>
      </c>
      <c r="C80" s="34" t="str">
        <f t="shared" si="24"/>
        <v>0037100000</v>
      </c>
      <c r="D80" s="34" t="str">
        <f t="shared" si="24"/>
        <v>0030019644</v>
      </c>
      <c r="E80" s="34">
        <f t="shared" si="24"/>
        <v>500020</v>
      </c>
      <c r="F80" s="50">
        <f t="shared" si="36"/>
        <v>1945.9169999999995</v>
      </c>
      <c r="G80" s="50">
        <f t="shared" si="36"/>
        <v>1887.4760000000006</v>
      </c>
      <c r="H80" s="50">
        <f t="shared" si="36"/>
        <v>1888.9340000000002</v>
      </c>
      <c r="I80" s="50">
        <f t="shared" ref="I80:Q80" si="39">MAX(0,I53-3000)</f>
        <v>3145.8289999999997</v>
      </c>
      <c r="J80" s="50">
        <f t="shared" si="39"/>
        <v>3410.6949999999997</v>
      </c>
      <c r="K80" s="50">
        <f t="shared" si="39"/>
        <v>3724.8980000000001</v>
      </c>
      <c r="L80" s="50">
        <f t="shared" si="39"/>
        <v>4469.1840000000002</v>
      </c>
      <c r="M80" s="50">
        <f t="shared" si="39"/>
        <v>4235.9610000000002</v>
      </c>
      <c r="N80" s="50">
        <f t="shared" si="39"/>
        <v>3636.9369999999999</v>
      </c>
      <c r="O80" s="87">
        <f t="shared" si="39"/>
        <v>3616.0680000000002</v>
      </c>
      <c r="P80" s="87">
        <f t="shared" si="39"/>
        <v>1813.0889999999999</v>
      </c>
      <c r="Q80" s="88">
        <f t="shared" si="39"/>
        <v>1716.3590000000004</v>
      </c>
      <c r="R80" s="42">
        <f t="shared" si="27"/>
        <v>35491.346999999994</v>
      </c>
    </row>
    <row r="81" spans="1:18" ht="13.15" customHeight="1" x14ac:dyDescent="0.2">
      <c r="A81" s="26">
        <v>13</v>
      </c>
      <c r="B81" s="34" t="str">
        <f t="shared" si="24"/>
        <v>Spokane County Combined Master</v>
      </c>
      <c r="C81" s="34" t="str">
        <f t="shared" si="24"/>
        <v>1082300000</v>
      </c>
      <c r="D81" s="34" t="str">
        <f t="shared" si="24"/>
        <v>1080099801</v>
      </c>
      <c r="E81" s="34">
        <f t="shared" si="24"/>
        <v>1900012</v>
      </c>
      <c r="F81" s="50">
        <f t="shared" si="36"/>
        <v>0</v>
      </c>
      <c r="G81" s="50">
        <f t="shared" si="36"/>
        <v>0</v>
      </c>
      <c r="H81" s="50">
        <f t="shared" si="36"/>
        <v>0</v>
      </c>
      <c r="I81" s="50">
        <f t="shared" ref="I81:Q81" si="40">MAX(0,I54-3000)</f>
        <v>0</v>
      </c>
      <c r="J81" s="50">
        <f t="shared" si="40"/>
        <v>0</v>
      </c>
      <c r="K81" s="50">
        <f t="shared" si="40"/>
        <v>0</v>
      </c>
      <c r="L81" s="50">
        <f t="shared" si="40"/>
        <v>0</v>
      </c>
      <c r="M81" s="50">
        <f t="shared" si="40"/>
        <v>0</v>
      </c>
      <c r="N81" s="50">
        <f t="shared" si="40"/>
        <v>0</v>
      </c>
      <c r="O81" s="87">
        <f t="shared" si="40"/>
        <v>0</v>
      </c>
      <c r="P81" s="87">
        <f t="shared" si="40"/>
        <v>0</v>
      </c>
      <c r="Q81" s="88">
        <f t="shared" si="40"/>
        <v>0</v>
      </c>
      <c r="R81" s="42">
        <f t="shared" si="27"/>
        <v>0</v>
      </c>
    </row>
    <row r="82" spans="1:18" ht="13.15" customHeight="1" x14ac:dyDescent="0.2">
      <c r="A82" s="26">
        <v>14</v>
      </c>
      <c r="B82" s="34" t="str">
        <f t="shared" si="24"/>
        <v>Spokane Industries</v>
      </c>
      <c r="C82" s="34" t="str">
        <f t="shared" si="24"/>
        <v>0078160000</v>
      </c>
      <c r="D82" s="34" t="str">
        <f t="shared" si="24"/>
        <v>0070121063</v>
      </c>
      <c r="E82" s="34">
        <f t="shared" si="24"/>
        <v>2400169</v>
      </c>
      <c r="F82" s="50">
        <f t="shared" si="36"/>
        <v>3079.3209999999999</v>
      </c>
      <c r="G82" s="50">
        <f t="shared" si="36"/>
        <v>3405.866</v>
      </c>
      <c r="H82" s="50">
        <f t="shared" si="36"/>
        <v>3498.7910000000002</v>
      </c>
      <c r="I82" s="50">
        <f t="shared" ref="I82:Q82" si="41">MAX(0,I55-3000)</f>
        <v>3064.7510000000002</v>
      </c>
      <c r="J82" s="50">
        <f t="shared" si="41"/>
        <v>3386.6630000000005</v>
      </c>
      <c r="K82" s="50">
        <f t="shared" si="41"/>
        <v>3175.3510000000006</v>
      </c>
      <c r="L82" s="50">
        <f t="shared" si="41"/>
        <v>3322.9349999999995</v>
      </c>
      <c r="M82" s="50">
        <f t="shared" si="41"/>
        <v>3118.3019999999997</v>
      </c>
      <c r="N82" s="50">
        <f t="shared" si="41"/>
        <v>2879.9079999999994</v>
      </c>
      <c r="O82" s="87">
        <f t="shared" si="41"/>
        <v>2936.924</v>
      </c>
      <c r="P82" s="87">
        <f t="shared" si="41"/>
        <v>1183.7569999999996</v>
      </c>
      <c r="Q82" s="88">
        <f t="shared" si="41"/>
        <v>2325.4760000000006</v>
      </c>
      <c r="R82" s="42">
        <f t="shared" si="27"/>
        <v>35378.044999999998</v>
      </c>
    </row>
    <row r="83" spans="1:18" ht="13.15" customHeight="1" x14ac:dyDescent="0.2">
      <c r="A83" s="26">
        <v>15</v>
      </c>
      <c r="B83" s="34" t="str">
        <f t="shared" si="24"/>
        <v>Triumph Composite</v>
      </c>
      <c r="C83" s="34" t="str">
        <f t="shared" si="24"/>
        <v>2261550000</v>
      </c>
      <c r="D83" s="34" t="str">
        <f t="shared" si="24"/>
        <v>2260946595</v>
      </c>
      <c r="E83" s="34">
        <f t="shared" si="24"/>
        <v>690067830</v>
      </c>
      <c r="F83" s="50">
        <f t="shared" si="36"/>
        <v>0</v>
      </c>
      <c r="G83" s="50">
        <f t="shared" si="36"/>
        <v>0</v>
      </c>
      <c r="H83" s="50">
        <f t="shared" si="36"/>
        <v>0</v>
      </c>
      <c r="I83" s="50">
        <f t="shared" ref="I83:Q83" si="42">MAX(0,I56-3000)</f>
        <v>0</v>
      </c>
      <c r="J83" s="50">
        <f t="shared" si="42"/>
        <v>0</v>
      </c>
      <c r="K83" s="50">
        <f t="shared" si="42"/>
        <v>43.380000000000109</v>
      </c>
      <c r="L83" s="50">
        <f t="shared" si="42"/>
        <v>60.539999999999964</v>
      </c>
      <c r="M83" s="50">
        <f t="shared" si="42"/>
        <v>168.03999999999996</v>
      </c>
      <c r="N83" s="50">
        <f t="shared" si="42"/>
        <v>293.51000000000022</v>
      </c>
      <c r="O83" s="87">
        <f t="shared" si="42"/>
        <v>0</v>
      </c>
      <c r="P83" s="87">
        <f t="shared" si="42"/>
        <v>0</v>
      </c>
      <c r="Q83" s="88">
        <f t="shared" si="42"/>
        <v>0</v>
      </c>
      <c r="R83" s="42">
        <f t="shared" si="27"/>
        <v>565.47000000000025</v>
      </c>
    </row>
    <row r="84" spans="1:18" ht="13.15" customHeight="1" x14ac:dyDescent="0.2">
      <c r="A84" s="26">
        <v>16</v>
      </c>
      <c r="B84" s="34" t="str">
        <f t="shared" si="24"/>
        <v>Vaagen Brothers Lumber</v>
      </c>
      <c r="C84" s="34" t="str">
        <f t="shared" si="24"/>
        <v>2478200000</v>
      </c>
      <c r="D84" s="34" t="str">
        <f t="shared" si="24"/>
        <v>2470070232</v>
      </c>
      <c r="E84" s="34">
        <f t="shared" si="24"/>
        <v>1300001</v>
      </c>
      <c r="F84" s="50">
        <f t="shared" si="36"/>
        <v>1636.0150000000003</v>
      </c>
      <c r="G84" s="50">
        <f t="shared" si="36"/>
        <v>1717.049</v>
      </c>
      <c r="H84" s="50">
        <f t="shared" si="36"/>
        <v>1819.0860000000002</v>
      </c>
      <c r="I84" s="50">
        <f t="shared" ref="I84:Q84" si="43">MAX(0,I57-3000)</f>
        <v>1350.9660000000003</v>
      </c>
      <c r="J84" s="50">
        <f t="shared" si="43"/>
        <v>1336.1509999999998</v>
      </c>
      <c r="K84" s="50">
        <f t="shared" si="43"/>
        <v>1291.3469999999998</v>
      </c>
      <c r="L84" s="50">
        <f t="shared" si="43"/>
        <v>1267.1300000000001</v>
      </c>
      <c r="M84" s="50">
        <f t="shared" si="43"/>
        <v>1363.4750000000004</v>
      </c>
      <c r="N84" s="50">
        <f t="shared" si="43"/>
        <v>1308.9880000000003</v>
      </c>
      <c r="O84" s="87">
        <f t="shared" si="43"/>
        <v>1530.009</v>
      </c>
      <c r="P84" s="87">
        <f t="shared" si="43"/>
        <v>1614.009</v>
      </c>
      <c r="Q84" s="88">
        <f t="shared" si="43"/>
        <v>1789.8339999999998</v>
      </c>
      <c r="R84" s="42">
        <f t="shared" si="27"/>
        <v>18024.059000000001</v>
      </c>
    </row>
    <row r="85" spans="1:18" ht="13.15" customHeight="1" x14ac:dyDescent="0.2">
      <c r="A85" s="26">
        <v>17</v>
      </c>
      <c r="B85" s="34" t="str">
        <f t="shared" si="24"/>
        <v xml:space="preserve">WSU - MP-A South Campus Feeder </v>
      </c>
      <c r="C85" s="34" t="str">
        <f t="shared" si="24"/>
        <v>3731710000</v>
      </c>
      <c r="D85" s="34" t="str">
        <f t="shared" si="24"/>
        <v>3730460787</v>
      </c>
      <c r="E85" s="34">
        <f t="shared" si="24"/>
        <v>290081951</v>
      </c>
      <c r="F85" s="50">
        <f t="shared" si="36"/>
        <v>1576.1419999999998</v>
      </c>
      <c r="G85" s="50">
        <f t="shared" si="36"/>
        <v>1533.2479999999996</v>
      </c>
      <c r="H85" s="50">
        <f t="shared" si="36"/>
        <v>1367.6120000000001</v>
      </c>
      <c r="I85" s="50">
        <f t="shared" ref="I85:Q85" si="44">MAX(0,I58-3000)</f>
        <v>560.84299999999985</v>
      </c>
      <c r="J85" s="50">
        <f t="shared" si="44"/>
        <v>458.20699999999988</v>
      </c>
      <c r="K85" s="50">
        <f t="shared" si="44"/>
        <v>595.22199999999975</v>
      </c>
      <c r="L85" s="50">
        <f t="shared" si="44"/>
        <v>639.15999999999985</v>
      </c>
      <c r="M85" s="50">
        <f t="shared" si="44"/>
        <v>663.63299999999981</v>
      </c>
      <c r="N85" s="50">
        <f t="shared" si="44"/>
        <v>424.27999999999975</v>
      </c>
      <c r="O85" s="87">
        <f t="shared" si="44"/>
        <v>739.06399999999985</v>
      </c>
      <c r="P85" s="87">
        <f t="shared" si="44"/>
        <v>415.76600000000008</v>
      </c>
      <c r="Q85" s="88">
        <f t="shared" si="44"/>
        <v>694.45499999999993</v>
      </c>
      <c r="R85" s="42">
        <f t="shared" si="27"/>
        <v>9667.6319999999978</v>
      </c>
    </row>
    <row r="86" spans="1:18" ht="13.15" customHeight="1" x14ac:dyDescent="0.2">
      <c r="A86" s="26">
        <v>18</v>
      </c>
      <c r="B86" s="34" t="str">
        <f t="shared" si="24"/>
        <v xml:space="preserve">WSU - MP-B East Campus EA </v>
      </c>
      <c r="C86" s="34" t="str">
        <f t="shared" si="24"/>
        <v>6037100000</v>
      </c>
      <c r="D86" s="34" t="str">
        <f t="shared" si="24"/>
        <v>6030021572</v>
      </c>
      <c r="E86" s="34">
        <f t="shared" si="24"/>
        <v>500033</v>
      </c>
      <c r="F86" s="50">
        <f t="shared" si="36"/>
        <v>5067.33</v>
      </c>
      <c r="G86" s="50">
        <f t="shared" si="36"/>
        <v>4973.07</v>
      </c>
      <c r="H86" s="50">
        <f t="shared" si="36"/>
        <v>4208.22</v>
      </c>
      <c r="I86" s="50">
        <f t="shared" ref="I86:Q86" si="45">MAX(0,I59-3000)</f>
        <v>3130.79</v>
      </c>
      <c r="J86" s="50">
        <f t="shared" si="45"/>
        <v>6217.869999999999</v>
      </c>
      <c r="K86" s="50">
        <f t="shared" si="45"/>
        <v>7413.7099999999991</v>
      </c>
      <c r="L86" s="50">
        <f t="shared" si="45"/>
        <v>8563.9</v>
      </c>
      <c r="M86" s="50">
        <f t="shared" si="45"/>
        <v>7087.15</v>
      </c>
      <c r="N86" s="50">
        <f t="shared" si="45"/>
        <v>7041.16</v>
      </c>
      <c r="O86" s="87">
        <f t="shared" si="45"/>
        <v>5239</v>
      </c>
      <c r="P86" s="87">
        <f t="shared" si="45"/>
        <v>3913.38</v>
      </c>
      <c r="Q86" s="88">
        <f t="shared" si="45"/>
        <v>3926.1900000000005</v>
      </c>
      <c r="R86" s="42">
        <f t="shared" si="27"/>
        <v>66781.76999999999</v>
      </c>
    </row>
    <row r="87" spans="1:18" ht="13.15" customHeight="1" x14ac:dyDescent="0.2">
      <c r="A87" s="26">
        <v>19</v>
      </c>
      <c r="B87" s="34" t="str">
        <f t="shared" si="24"/>
        <v xml:space="preserve">WSU - MP-C East Campus EB </v>
      </c>
      <c r="C87" s="34" t="str">
        <f t="shared" si="24"/>
        <v>6100220000</v>
      </c>
      <c r="D87" s="34" t="str">
        <f t="shared" si="24"/>
        <v>6100609210</v>
      </c>
      <c r="E87" s="34">
        <f t="shared" si="24"/>
        <v>410031282</v>
      </c>
      <c r="F87" s="50">
        <f t="shared" si="36"/>
        <v>2753.1909999999998</v>
      </c>
      <c r="G87" s="50">
        <f t="shared" si="36"/>
        <v>2494.942</v>
      </c>
      <c r="H87" s="50">
        <f t="shared" si="36"/>
        <v>2083.5830000000005</v>
      </c>
      <c r="I87" s="50">
        <f t="shared" ref="I87:Q87" si="46">MAX(0,I60-3000)</f>
        <v>1604.6099999999997</v>
      </c>
      <c r="J87" s="50">
        <f t="shared" si="46"/>
        <v>1291.9970000000003</v>
      </c>
      <c r="K87" s="50">
        <f t="shared" si="46"/>
        <v>1555.8230000000003</v>
      </c>
      <c r="L87" s="50">
        <f t="shared" si="46"/>
        <v>1555.1130000000003</v>
      </c>
      <c r="M87" s="50">
        <f t="shared" si="46"/>
        <v>1501.9079999999994</v>
      </c>
      <c r="N87" s="50">
        <f t="shared" si="46"/>
        <v>1447.3739999999998</v>
      </c>
      <c r="O87" s="87">
        <f t="shared" si="46"/>
        <v>2242.9629999999997</v>
      </c>
      <c r="P87" s="87">
        <f t="shared" si="46"/>
        <v>2501.9439999999995</v>
      </c>
      <c r="Q87" s="88">
        <f t="shared" si="46"/>
        <v>2510.3760000000002</v>
      </c>
      <c r="R87" s="42">
        <f t="shared" si="27"/>
        <v>23543.824000000001</v>
      </c>
    </row>
    <row r="88" spans="1:18" ht="13.15" customHeight="1" x14ac:dyDescent="0.2">
      <c r="A88" s="26">
        <v>20</v>
      </c>
      <c r="B88" s="156" t="str">
        <f t="shared" si="24"/>
        <v>WSU - MP -D Casp East (no PVD)</v>
      </c>
      <c r="C88" s="156" t="str">
        <f t="shared" si="24"/>
        <v>5037100000</v>
      </c>
      <c r="D88" s="156" t="str">
        <f t="shared" si="24"/>
        <v>5030019646</v>
      </c>
      <c r="E88" s="156">
        <f t="shared" si="24"/>
        <v>500032</v>
      </c>
      <c r="F88" s="157">
        <f t="shared" si="36"/>
        <v>1950.1840000000002</v>
      </c>
      <c r="G88" s="157">
        <f t="shared" si="36"/>
        <v>2009.4059999999999</v>
      </c>
      <c r="H88" s="157">
        <f t="shared" si="36"/>
        <v>1668.3270000000002</v>
      </c>
      <c r="I88" s="157">
        <f t="shared" ref="I88:Q88" si="47">MAX(0,I61-3000)</f>
        <v>720.81700000000001</v>
      </c>
      <c r="J88" s="157">
        <f t="shared" si="47"/>
        <v>608.63000000000011</v>
      </c>
      <c r="K88" s="157">
        <f t="shared" si="47"/>
        <v>514.35899999999992</v>
      </c>
      <c r="L88" s="157">
        <f t="shared" si="47"/>
        <v>506.88500000000022</v>
      </c>
      <c r="M88" s="157">
        <f t="shared" si="47"/>
        <v>698.01699999999983</v>
      </c>
      <c r="N88" s="157">
        <f t="shared" si="47"/>
        <v>625.41300000000001</v>
      </c>
      <c r="O88" s="158">
        <f t="shared" si="47"/>
        <v>1112.3810000000003</v>
      </c>
      <c r="P88" s="158">
        <f t="shared" si="47"/>
        <v>1321.8739999999998</v>
      </c>
      <c r="Q88" s="159">
        <f t="shared" si="47"/>
        <v>1276.7089999999998</v>
      </c>
      <c r="R88" s="157">
        <f t="shared" si="27"/>
        <v>13013.002</v>
      </c>
    </row>
    <row r="89" spans="1:18" ht="13.15" customHeight="1" x14ac:dyDescent="0.2">
      <c r="A89" s="26">
        <v>21</v>
      </c>
      <c r="B89" s="156" t="str">
        <f t="shared" si="24"/>
        <v>WSU - MP-E Casp West (no PVD)</v>
      </c>
      <c r="C89" s="156" t="str">
        <f t="shared" si="24"/>
        <v>6365350762</v>
      </c>
      <c r="D89" s="156" t="str">
        <f t="shared" si="24"/>
        <v>7030024549</v>
      </c>
      <c r="E89" s="156">
        <f t="shared" si="24"/>
        <v>500034</v>
      </c>
      <c r="F89" s="157">
        <f t="shared" si="36"/>
        <v>1134.2719999999999</v>
      </c>
      <c r="G89" s="157">
        <f t="shared" si="36"/>
        <v>1193.424</v>
      </c>
      <c r="H89" s="157">
        <f t="shared" si="36"/>
        <v>920.97600000000011</v>
      </c>
      <c r="I89" s="157">
        <f t="shared" ref="I89:Q89" si="48">MAX(0,I62-3000)</f>
        <v>1404.9049999999997</v>
      </c>
      <c r="J89" s="157">
        <f t="shared" si="48"/>
        <v>914.87699999999995</v>
      </c>
      <c r="K89" s="157">
        <f t="shared" si="48"/>
        <v>2232.4619999999995</v>
      </c>
      <c r="L89" s="157">
        <f t="shared" si="48"/>
        <v>2605.3429999999998</v>
      </c>
      <c r="M89" s="157">
        <f t="shared" si="48"/>
        <v>2744.26</v>
      </c>
      <c r="N89" s="157">
        <f t="shared" si="48"/>
        <v>2641.9690000000001</v>
      </c>
      <c r="O89" s="158">
        <f t="shared" si="48"/>
        <v>2296.9989999999998</v>
      </c>
      <c r="P89" s="158">
        <f t="shared" si="48"/>
        <v>0</v>
      </c>
      <c r="Q89" s="159">
        <f t="shared" si="48"/>
        <v>0</v>
      </c>
      <c r="R89" s="157">
        <f t="shared" si="27"/>
        <v>18089.486999999997</v>
      </c>
    </row>
    <row r="90" spans="1:18" ht="13.15" customHeight="1" x14ac:dyDescent="0.2">
      <c r="A90" s="26">
        <v>22</v>
      </c>
      <c r="B90" s="156" t="str">
        <f t="shared" ref="B90:E90" si="49">B25</f>
        <v>Goodrich - South 2311155858 (No PVD)</v>
      </c>
      <c r="C90" s="156" t="str">
        <f t="shared" si="49"/>
        <v>2317650000</v>
      </c>
      <c r="D90" s="156">
        <f t="shared" si="49"/>
        <v>2311155858</v>
      </c>
      <c r="E90" s="156" t="str">
        <f t="shared" si="49"/>
        <v>new Sept 2017</v>
      </c>
      <c r="F90" s="157">
        <f t="shared" ref="F90:H90" si="50">IF(F63&gt;3000,F63-3000,0)</f>
        <v>2943.0749999999998</v>
      </c>
      <c r="G90" s="157">
        <f t="shared" si="50"/>
        <v>3348.8199999999997</v>
      </c>
      <c r="H90" s="157">
        <f t="shared" si="50"/>
        <v>7210.0380000000005</v>
      </c>
      <c r="I90" s="157">
        <f t="shared" ref="I90:Q90" si="51">MAX(0,I63-3000)</f>
        <v>2963.5869999999995</v>
      </c>
      <c r="J90" s="157">
        <f t="shared" si="51"/>
        <v>1365.558</v>
      </c>
      <c r="K90" s="157">
        <f t="shared" si="51"/>
        <v>171.64699999999993</v>
      </c>
      <c r="L90" s="157">
        <f t="shared" si="51"/>
        <v>0</v>
      </c>
      <c r="M90" s="157">
        <f t="shared" si="51"/>
        <v>823.80000000000018</v>
      </c>
      <c r="N90" s="157">
        <f t="shared" si="51"/>
        <v>2636.4660000000003</v>
      </c>
      <c r="O90" s="158">
        <f t="shared" si="51"/>
        <v>1145.3999999999996</v>
      </c>
      <c r="P90" s="158">
        <f t="shared" si="51"/>
        <v>0</v>
      </c>
      <c r="Q90" s="159">
        <f t="shared" si="51"/>
        <v>0</v>
      </c>
      <c r="R90" s="157">
        <f t="shared" ref="R90:R91" si="52">SUM(F90:Q90)</f>
        <v>22608.391000000003</v>
      </c>
    </row>
    <row r="91" spans="1:18" ht="13.15" customHeight="1" x14ac:dyDescent="0.2">
      <c r="A91" s="26">
        <v>23</v>
      </c>
      <c r="B91" s="34" t="str">
        <f t="shared" ref="B91:E91" si="53">B26</f>
        <v>Boise Cascade LLC Inland Region</v>
      </c>
      <c r="C91" s="34" t="str">
        <f t="shared" si="53"/>
        <v>7600430000</v>
      </c>
      <c r="D91" s="34">
        <f t="shared" si="53"/>
        <v>7600951015</v>
      </c>
      <c r="E91" s="34" t="str">
        <f t="shared" si="53"/>
        <v>transferred from schedule 21 Nov 2017</v>
      </c>
      <c r="F91" s="50">
        <f t="shared" ref="F91:H91" si="54">IF(F64&gt;3000,F64-3000,0)</f>
        <v>815.2829999999999</v>
      </c>
      <c r="G91" s="50">
        <f t="shared" si="54"/>
        <v>778.33799999999974</v>
      </c>
      <c r="H91" s="50">
        <f t="shared" si="54"/>
        <v>650.71599999999989</v>
      </c>
      <c r="I91" s="50">
        <f t="shared" ref="I91:Q91" si="55">MAX(0,I64-3000)</f>
        <v>466.30999999999995</v>
      </c>
      <c r="J91" s="50">
        <f t="shared" si="55"/>
        <v>820.67999999999984</v>
      </c>
      <c r="K91" s="50">
        <f t="shared" si="55"/>
        <v>902.60000000000218</v>
      </c>
      <c r="L91" s="50">
        <f t="shared" si="55"/>
        <v>681.5</v>
      </c>
      <c r="M91" s="50">
        <f t="shared" si="55"/>
        <v>585.79899999999998</v>
      </c>
      <c r="N91" s="50">
        <f t="shared" si="55"/>
        <v>683.2489999999998</v>
      </c>
      <c r="O91" s="87">
        <f t="shared" si="55"/>
        <v>565.13500000000022</v>
      </c>
      <c r="P91" s="87">
        <f t="shared" si="55"/>
        <v>777.63099999999986</v>
      </c>
      <c r="Q91" s="88">
        <f t="shared" si="55"/>
        <v>766.16600000000017</v>
      </c>
      <c r="R91" s="42">
        <f t="shared" si="52"/>
        <v>8493.4070000000029</v>
      </c>
    </row>
    <row r="92" spans="1:18" ht="13.15" customHeight="1" x14ac:dyDescent="0.2">
      <c r="A92" s="26" t="s">
        <v>156</v>
      </c>
      <c r="E92" s="89"/>
      <c r="F92" s="90">
        <f>SUM(F69:F91)</f>
        <v>102455.565</v>
      </c>
      <c r="G92" s="90">
        <f t="shared" ref="G92:Q92" si="56">SUM(G69:G91)</f>
        <v>99437.62999999999</v>
      </c>
      <c r="H92" s="90">
        <f t="shared" si="56"/>
        <v>103742.62699999998</v>
      </c>
      <c r="I92" s="90">
        <f t="shared" si="56"/>
        <v>97345.856999999975</v>
      </c>
      <c r="J92" s="90">
        <f t="shared" si="56"/>
        <v>99679.336999999985</v>
      </c>
      <c r="K92" s="90">
        <f t="shared" si="56"/>
        <v>98580.511999999988</v>
      </c>
      <c r="L92" s="90">
        <f t="shared" si="56"/>
        <v>102605.17199999996</v>
      </c>
      <c r="M92" s="90">
        <f t="shared" si="56"/>
        <v>101144.402</v>
      </c>
      <c r="N92" s="90">
        <f t="shared" si="56"/>
        <v>102119.85799999999</v>
      </c>
      <c r="O92" s="90">
        <f t="shared" si="56"/>
        <v>102093.34299999999</v>
      </c>
      <c r="P92" s="90">
        <f t="shared" si="56"/>
        <v>87119.002000000008</v>
      </c>
      <c r="Q92" s="90">
        <f t="shared" si="56"/>
        <v>89073.22</v>
      </c>
      <c r="R92" s="91">
        <f>IF(ROUND(SUM(R69:R91),0)&lt;&gt;ROUND(SUM(F92:Q92),0),#VALUE!,SUM(R69:R91))</f>
        <v>1185396.5250000001</v>
      </c>
    </row>
    <row r="93" spans="1:18" ht="13.15" customHeight="1" x14ac:dyDescent="0.2">
      <c r="E93" s="89"/>
      <c r="F93" s="50"/>
      <c r="G93" s="50"/>
      <c r="H93" s="50"/>
      <c r="I93" s="50"/>
      <c r="J93" s="50"/>
      <c r="K93" s="50"/>
      <c r="L93" s="50"/>
      <c r="M93" s="50"/>
      <c r="N93" s="50"/>
      <c r="O93" s="93"/>
      <c r="P93" s="93"/>
      <c r="Q93" s="94"/>
      <c r="R93" s="42"/>
    </row>
    <row r="94" spans="1:18" ht="13.15" customHeight="1" x14ac:dyDescent="0.2">
      <c r="E94" s="89"/>
      <c r="F94" s="50"/>
      <c r="G94" s="50"/>
      <c r="H94" s="50"/>
      <c r="I94" s="50"/>
      <c r="J94" s="50"/>
      <c r="K94" s="50"/>
      <c r="L94" s="50"/>
      <c r="M94" s="50"/>
      <c r="N94" s="50"/>
      <c r="O94" s="93"/>
      <c r="P94" s="93"/>
      <c r="Q94" s="94"/>
      <c r="R94" s="42"/>
    </row>
    <row r="95" spans="1:18" ht="13.15" customHeight="1" x14ac:dyDescent="0.2">
      <c r="F95" s="46"/>
      <c r="G95" s="46"/>
      <c r="H95" s="46"/>
      <c r="I95" s="46"/>
      <c r="J95" s="46"/>
      <c r="K95" s="46"/>
      <c r="L95" s="46"/>
      <c r="M95" s="46"/>
      <c r="N95" s="46"/>
      <c r="O95" s="56"/>
      <c r="P95" s="56"/>
      <c r="Q95" s="57"/>
      <c r="R95" s="29" t="str">
        <f>R$2</f>
        <v>12-mo Ended</v>
      </c>
    </row>
    <row r="96" spans="1:18" ht="13.15" customHeight="1" x14ac:dyDescent="0.2">
      <c r="A96" s="32" t="s">
        <v>168</v>
      </c>
      <c r="B96" s="32"/>
      <c r="C96" s="32"/>
      <c r="D96" s="32"/>
      <c r="F96" s="75">
        <f>F$3</f>
        <v>43831</v>
      </c>
      <c r="G96" s="75">
        <f t="shared" ref="G96:Q96" si="57">G$3</f>
        <v>43862</v>
      </c>
      <c r="H96" s="75">
        <f t="shared" si="57"/>
        <v>43893</v>
      </c>
      <c r="I96" s="75">
        <f t="shared" si="57"/>
        <v>43924</v>
      </c>
      <c r="J96" s="75">
        <f t="shared" si="57"/>
        <v>43955</v>
      </c>
      <c r="K96" s="75">
        <f t="shared" si="57"/>
        <v>43986</v>
      </c>
      <c r="L96" s="75">
        <f t="shared" si="57"/>
        <v>44017</v>
      </c>
      <c r="M96" s="75">
        <f t="shared" si="57"/>
        <v>44048</v>
      </c>
      <c r="N96" s="75">
        <f t="shared" si="57"/>
        <v>44079</v>
      </c>
      <c r="O96" s="36">
        <f t="shared" si="57"/>
        <v>44110</v>
      </c>
      <c r="P96" s="36">
        <f t="shared" si="57"/>
        <v>44141</v>
      </c>
      <c r="Q96" s="76">
        <f t="shared" si="57"/>
        <v>44172</v>
      </c>
      <c r="R96" s="29" t="s">
        <v>13</v>
      </c>
    </row>
    <row r="97" spans="1:18" ht="13.15" customHeight="1" x14ac:dyDescent="0.2">
      <c r="C97" s="26" t="s">
        <v>169</v>
      </c>
      <c r="E97" s="26" t="s">
        <v>170</v>
      </c>
      <c r="F97" s="95"/>
      <c r="G97" s="95"/>
      <c r="H97" s="95"/>
      <c r="I97" s="95"/>
      <c r="J97" s="95"/>
      <c r="K97" s="95"/>
      <c r="L97" s="95"/>
      <c r="M97" s="95"/>
      <c r="N97" s="95"/>
      <c r="O97" s="96"/>
      <c r="P97" s="96"/>
      <c r="Q97" s="97"/>
      <c r="R97" s="98">
        <f>SUM(F97:Q97)</f>
        <v>0</v>
      </c>
    </row>
    <row r="98" spans="1:18" ht="13.15" customHeight="1" x14ac:dyDescent="0.2">
      <c r="C98" s="26" t="s">
        <v>171</v>
      </c>
      <c r="E98" s="26" t="s">
        <v>172</v>
      </c>
      <c r="F98" s="99"/>
      <c r="G98" s="100"/>
      <c r="H98" s="100"/>
      <c r="I98" s="100"/>
      <c r="J98" s="100"/>
      <c r="K98" s="100"/>
      <c r="L98" s="100"/>
      <c r="M98" s="100"/>
      <c r="N98" s="100"/>
      <c r="O98" s="101"/>
      <c r="P98" s="101"/>
      <c r="Q98" s="102"/>
      <c r="R98" s="103">
        <f>SUM(F98:Q98)</f>
        <v>0</v>
      </c>
    </row>
    <row r="99" spans="1:18" ht="13.15" customHeight="1" x14ac:dyDescent="0.2">
      <c r="C99" s="26" t="s">
        <v>173</v>
      </c>
      <c r="E99" s="26" t="s">
        <v>174</v>
      </c>
      <c r="F99" s="95"/>
      <c r="G99" s="95"/>
      <c r="H99" s="95"/>
      <c r="I99" s="95"/>
      <c r="J99" s="95"/>
      <c r="K99" s="95"/>
      <c r="L99" s="95"/>
      <c r="M99" s="95"/>
      <c r="N99" s="95"/>
      <c r="O99" s="96"/>
      <c r="P99" s="96"/>
      <c r="Q99" s="97"/>
      <c r="R99" s="98">
        <f>SUM(F99:Q99)</f>
        <v>0</v>
      </c>
    </row>
    <row r="100" spans="1:18" ht="13.15" customHeight="1" x14ac:dyDescent="0.2">
      <c r="A100" s="26" t="s">
        <v>175</v>
      </c>
      <c r="F100" s="81">
        <f t="shared" ref="F100:R100" si="58">SUM(F97:F99)</f>
        <v>0</v>
      </c>
      <c r="G100" s="81">
        <f t="shared" si="58"/>
        <v>0</v>
      </c>
      <c r="H100" s="81">
        <f t="shared" si="58"/>
        <v>0</v>
      </c>
      <c r="I100" s="81">
        <f t="shared" si="58"/>
        <v>0</v>
      </c>
      <c r="J100" s="81">
        <f t="shared" si="58"/>
        <v>0</v>
      </c>
      <c r="K100" s="81">
        <f t="shared" si="58"/>
        <v>0</v>
      </c>
      <c r="L100" s="81">
        <f t="shared" si="58"/>
        <v>0</v>
      </c>
      <c r="M100" s="81">
        <f t="shared" si="58"/>
        <v>0</v>
      </c>
      <c r="N100" s="81">
        <f t="shared" si="58"/>
        <v>0</v>
      </c>
      <c r="O100" s="82">
        <f t="shared" si="58"/>
        <v>0</v>
      </c>
      <c r="P100" s="82">
        <f t="shared" si="58"/>
        <v>0</v>
      </c>
      <c r="Q100" s="83">
        <f t="shared" si="58"/>
        <v>0</v>
      </c>
      <c r="R100" s="82">
        <f t="shared" si="58"/>
        <v>0</v>
      </c>
    </row>
    <row r="101" spans="1:18" ht="13.15" customHeight="1" x14ac:dyDescent="0.2">
      <c r="F101" s="104">
        <f t="shared" ref="F101:Q101" si="59">F12</f>
        <v>40848350</v>
      </c>
      <c r="G101" s="104">
        <f t="shared" si="59"/>
        <v>32724334</v>
      </c>
      <c r="H101" s="104">
        <f t="shared" si="59"/>
        <v>31040188</v>
      </c>
      <c r="I101" s="104">
        <f t="shared" si="59"/>
        <v>32529148</v>
      </c>
      <c r="J101" s="104">
        <f t="shared" si="59"/>
        <v>33764226</v>
      </c>
      <c r="K101" s="104">
        <f t="shared" si="59"/>
        <v>17662074</v>
      </c>
      <c r="L101" s="104">
        <f t="shared" si="59"/>
        <v>33902478</v>
      </c>
      <c r="M101" s="104">
        <f t="shared" si="59"/>
        <v>40852464</v>
      </c>
      <c r="N101" s="104">
        <f t="shared" si="59"/>
        <v>39406300</v>
      </c>
      <c r="O101" s="85">
        <f t="shared" si="59"/>
        <v>39072646</v>
      </c>
      <c r="P101" s="85">
        <f t="shared" si="59"/>
        <v>37955142</v>
      </c>
      <c r="Q101" s="86">
        <f t="shared" si="59"/>
        <v>39841864</v>
      </c>
      <c r="R101" s="42">
        <f>SUM(F101:Q101)</f>
        <v>419599214</v>
      </c>
    </row>
    <row r="102" spans="1:18" ht="13.15" customHeight="1" x14ac:dyDescent="0.2">
      <c r="A102" s="32" t="s">
        <v>176</v>
      </c>
      <c r="B102" s="32"/>
      <c r="C102" s="32"/>
      <c r="D102" s="32"/>
      <c r="F102" s="46"/>
      <c r="G102" s="46"/>
      <c r="H102" s="46"/>
      <c r="I102" s="46"/>
      <c r="J102" s="46"/>
      <c r="K102" s="46"/>
      <c r="L102" s="46"/>
      <c r="M102" s="46"/>
      <c r="N102" s="46"/>
      <c r="O102" s="56"/>
      <c r="P102" s="56"/>
      <c r="Q102" s="57"/>
    </row>
    <row r="103" spans="1:18" ht="13.15" customHeight="1" x14ac:dyDescent="0.2">
      <c r="C103" s="26" t="s">
        <v>169</v>
      </c>
      <c r="E103" s="26" t="s">
        <v>170</v>
      </c>
      <c r="F103" s="153">
        <v>10503.372727272726</v>
      </c>
      <c r="G103" s="153">
        <v>9305.5636363636368</v>
      </c>
      <c r="H103" s="153">
        <v>9238.7545454545434</v>
      </c>
      <c r="I103" s="153">
        <v>7814.0526315789475</v>
      </c>
      <c r="J103" s="153">
        <v>11878.907894736842</v>
      </c>
      <c r="K103" s="153">
        <v>11470.618421052632</v>
      </c>
      <c r="L103" s="153">
        <v>9072.3618421052633</v>
      </c>
      <c r="M103" s="153">
        <v>10997.513157894737</v>
      </c>
      <c r="N103" s="153">
        <v>10106.842105263158</v>
      </c>
      <c r="O103" s="45">
        <v>10562.177631578947</v>
      </c>
      <c r="P103" s="45">
        <v>8858.7828947368416</v>
      </c>
      <c r="Q103" s="44">
        <v>8924.8815789473683</v>
      </c>
      <c r="R103" s="119">
        <f>SUM(F103:Q103)</f>
        <v>118733.82906698565</v>
      </c>
    </row>
    <row r="104" spans="1:18" ht="13.15" customHeight="1" x14ac:dyDescent="0.2">
      <c r="C104" s="26" t="s">
        <v>171</v>
      </c>
      <c r="E104" s="26" t="s">
        <v>172</v>
      </c>
      <c r="F104" s="153"/>
      <c r="G104" s="153"/>
      <c r="H104" s="153"/>
      <c r="I104" s="153"/>
      <c r="J104" s="153"/>
      <c r="K104" s="153"/>
      <c r="L104" s="153"/>
      <c r="M104" s="153"/>
      <c r="N104" s="153"/>
      <c r="O104" s="154"/>
      <c r="P104" s="154"/>
      <c r="Q104" s="155"/>
      <c r="R104" s="119">
        <f>SUM(F104:Q104)</f>
        <v>0</v>
      </c>
    </row>
    <row r="105" spans="1:18" ht="13.15" customHeight="1" x14ac:dyDescent="0.2">
      <c r="C105" s="26" t="s">
        <v>173</v>
      </c>
      <c r="E105" s="26" t="s">
        <v>174</v>
      </c>
      <c r="F105" s="153">
        <v>54288.192857142858</v>
      </c>
      <c r="G105" s="153">
        <v>53425.750000000007</v>
      </c>
      <c r="H105" s="153">
        <v>50832.200000000004</v>
      </c>
      <c r="I105" s="153">
        <v>37604.290155440416</v>
      </c>
      <c r="J105" s="153">
        <v>52848</v>
      </c>
      <c r="K105" s="153">
        <v>53012.740932642489</v>
      </c>
      <c r="L105" s="153">
        <v>52725.632124352334</v>
      </c>
      <c r="M105" s="153">
        <v>54023.26943005182</v>
      </c>
      <c r="N105" s="153">
        <v>53086.611398963731</v>
      </c>
      <c r="O105" s="45">
        <v>52438.538860103632</v>
      </c>
      <c r="P105" s="45">
        <v>52283.699481865282</v>
      </c>
      <c r="Q105" s="44">
        <v>52970.47150259067</v>
      </c>
      <c r="R105" s="119">
        <f>SUM(F105:Q105)</f>
        <v>619539.39674315334</v>
      </c>
    </row>
    <row r="106" spans="1:18" ht="13.15" customHeight="1" x14ac:dyDescent="0.2">
      <c r="A106" s="26" t="s">
        <v>175</v>
      </c>
      <c r="F106" s="90">
        <f t="shared" ref="F106:R106" si="60">SUM(F103:F105)</f>
        <v>64791.565584415584</v>
      </c>
      <c r="G106" s="90">
        <f t="shared" si="60"/>
        <v>62731.313636363644</v>
      </c>
      <c r="H106" s="90">
        <f t="shared" si="60"/>
        <v>60070.954545454544</v>
      </c>
      <c r="I106" s="90">
        <f t="shared" si="60"/>
        <v>45418.342787019363</v>
      </c>
      <c r="J106" s="90">
        <f t="shared" si="60"/>
        <v>64726.90789473684</v>
      </c>
      <c r="K106" s="90">
        <f t="shared" si="60"/>
        <v>64483.359353695123</v>
      </c>
      <c r="L106" s="90">
        <f t="shared" si="60"/>
        <v>61797.993966457594</v>
      </c>
      <c r="M106" s="90">
        <f t="shared" si="60"/>
        <v>65020.782587946553</v>
      </c>
      <c r="N106" s="90">
        <f t="shared" si="60"/>
        <v>63193.453504226891</v>
      </c>
      <c r="O106" s="91">
        <f t="shared" si="60"/>
        <v>63000.716491682579</v>
      </c>
      <c r="P106" s="91">
        <f t="shared" si="60"/>
        <v>61142.482376602122</v>
      </c>
      <c r="Q106" s="92">
        <f t="shared" si="60"/>
        <v>61895.353081538036</v>
      </c>
      <c r="R106" s="82">
        <f t="shared" si="60"/>
        <v>738273.22581013897</v>
      </c>
    </row>
    <row r="107" spans="1:18" ht="13.15" customHeight="1" x14ac:dyDescent="0.2">
      <c r="F107" s="105">
        <f t="shared" ref="F107:Q107" si="61">F50</f>
        <v>62712.37</v>
      </c>
      <c r="G107" s="105">
        <f t="shared" si="61"/>
        <v>59414.75</v>
      </c>
      <c r="H107" s="105">
        <f t="shared" si="61"/>
        <v>61789.32</v>
      </c>
      <c r="I107" s="105">
        <f t="shared" si="61"/>
        <v>63519.94</v>
      </c>
      <c r="J107" s="105">
        <f t="shared" si="61"/>
        <v>64742</v>
      </c>
      <c r="K107" s="105">
        <f t="shared" si="61"/>
        <v>62373.120000000003</v>
      </c>
      <c r="L107" s="105">
        <f t="shared" si="61"/>
        <v>63195.15</v>
      </c>
      <c r="M107" s="105">
        <f t="shared" si="61"/>
        <v>62148.44</v>
      </c>
      <c r="N107" s="105">
        <f t="shared" si="61"/>
        <v>61970.84</v>
      </c>
      <c r="O107" s="105">
        <f t="shared" si="61"/>
        <v>61982.28</v>
      </c>
      <c r="P107" s="105">
        <f t="shared" si="61"/>
        <v>60622.5</v>
      </c>
      <c r="Q107" s="106">
        <f t="shared" si="61"/>
        <v>61249.43</v>
      </c>
      <c r="R107" s="79">
        <f>SUM(F107:Q107)</f>
        <v>745720.14000000013</v>
      </c>
    </row>
    <row r="108" spans="1:18" ht="13.15" customHeight="1" x14ac:dyDescent="0.2"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79"/>
    </row>
    <row r="109" spans="1:18" ht="13.15" customHeight="1" x14ac:dyDescent="0.2">
      <c r="A109" s="107" t="s">
        <v>177</v>
      </c>
      <c r="B109" s="107" t="s">
        <v>178</v>
      </c>
      <c r="C109" s="107" t="s">
        <v>171</v>
      </c>
      <c r="E109" s="107" t="s">
        <v>178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9"/>
      <c r="R109" s="98" t="e">
        <f>AVERAGE(F109:Q109)</f>
        <v>#DIV/0!</v>
      </c>
    </row>
    <row r="110" spans="1:18" ht="13.15" customHeight="1" x14ac:dyDescent="0.2">
      <c r="F110" s="46"/>
      <c r="G110" s="46"/>
      <c r="H110" s="46"/>
      <c r="I110" s="46"/>
      <c r="J110" s="46"/>
      <c r="K110" s="46"/>
      <c r="L110" s="46"/>
      <c r="M110" s="46"/>
      <c r="N110" s="46"/>
      <c r="O110" s="56"/>
      <c r="P110" s="56"/>
      <c r="Q110" s="57"/>
    </row>
    <row r="111" spans="1:18" ht="13.15" hidden="1" customHeight="1" x14ac:dyDescent="0.2">
      <c r="A111" s="26" t="s">
        <v>179</v>
      </c>
      <c r="F111" s="110">
        <f>500000*0.0575+MIN(5500000,F12-500000)*0.05177+MAX(0,F12-6000000)*0.04433+15000+F77*5.25-F103*1.1-F105*1.4</f>
        <v>2099245.1179999998</v>
      </c>
      <c r="G111" s="110">
        <f>500000*0.0575+MIN(5500000,G12-500000)*0.05177+MAX(0,G12-6000000)*0.04433+15000+G77*5.25-G103*1.1-G105*1.4</f>
        <v>1724319.9937199999</v>
      </c>
      <c r="H111" s="110">
        <f>500000*0.0575+MIN(5500000,H12-500000)*0.05177+MAX(0,H12-6000000)*0.04433+15000+H77*5.25-H103*1.1-H105*1.4</f>
        <v>1665832.75404</v>
      </c>
      <c r="I111" s="111">
        <f t="shared" ref="I111:Q111" si="62">500000*0.05616+MIN(5500000,I12-500000)*0.05053+MAX(0,I12-6000000)*0.0432+21000+I77*6-I103*1.1-I105*1.4</f>
        <v>1774932.3694876465</v>
      </c>
      <c r="J111" s="111">
        <f t="shared" si="62"/>
        <v>1809807.5645157895</v>
      </c>
      <c r="K111" s="111">
        <f t="shared" si="62"/>
        <v>1100199.7992311425</v>
      </c>
      <c r="L111" s="111">
        <f t="shared" si="62"/>
        <v>1809757.4665995911</v>
      </c>
      <c r="M111" s="111">
        <f t="shared" si="62"/>
        <v>2099782.2431242438</v>
      </c>
      <c r="N111" s="111">
        <f t="shared" si="62"/>
        <v>2038533.4177256613</v>
      </c>
      <c r="O111" s="112">
        <f t="shared" si="62"/>
        <v>2024594.6374011184</v>
      </c>
      <c r="P111" s="112">
        <f t="shared" si="62"/>
        <v>1970250.2939411781</v>
      </c>
      <c r="Q111" s="113">
        <f t="shared" si="62"/>
        <v>2054484.074959531</v>
      </c>
      <c r="R111" s="114">
        <f>SUM(F111:Q111)</f>
        <v>22171739.732745901</v>
      </c>
    </row>
    <row r="112" spans="1:18" ht="13.15" hidden="1" customHeight="1" x14ac:dyDescent="0.2">
      <c r="A112" s="26" t="s">
        <v>180</v>
      </c>
      <c r="F112" s="115">
        <v>2183197</v>
      </c>
      <c r="G112" s="115">
        <v>2154617</v>
      </c>
      <c r="H112" s="115">
        <v>2076593</v>
      </c>
      <c r="I112" s="116">
        <f>2165579+21000-9245.5-77617.4</f>
        <v>2099716.1</v>
      </c>
      <c r="J112" s="116">
        <f>2051752+21000-73180.8-9497.4</f>
        <v>1990073.8</v>
      </c>
      <c r="K112" s="116">
        <f>2227520.8+21000-74188.8-9422.6</f>
        <v>2164909.4</v>
      </c>
      <c r="L112" s="116">
        <f>2172483.28+21000-74592-9458.9</f>
        <v>2109432.38</v>
      </c>
      <c r="M112" s="116">
        <f>2138921.74+21000-76406.4-9422.6</f>
        <v>2074092.7400000002</v>
      </c>
      <c r="N112" s="116">
        <f>2104738.35+21000-76004.6-8784.6</f>
        <v>2040949.15</v>
      </c>
      <c r="O112" s="117">
        <f>2150265.77+21000-72777.6-8819.8</f>
        <v>2089668.3699999999</v>
      </c>
      <c r="P112" s="117">
        <f>2158550.53+21000-70761.6-8996.9</f>
        <v>2099792.0299999998</v>
      </c>
      <c r="Q112" s="118">
        <f>2049012.26+21000-70358.4-9369.8</f>
        <v>1990284.06</v>
      </c>
      <c r="R112" s="114">
        <f>SUM(F112:Q112)</f>
        <v>25073325.030000001</v>
      </c>
    </row>
    <row r="113" spans="1:18" ht="13.15" hidden="1" customHeight="1" x14ac:dyDescent="0.2">
      <c r="F113" s="50"/>
      <c r="G113" s="50"/>
      <c r="H113" s="50"/>
      <c r="I113" s="119"/>
      <c r="J113" s="119"/>
      <c r="K113" s="119"/>
      <c r="L113" s="119"/>
      <c r="M113" s="119"/>
      <c r="N113" s="119"/>
      <c r="O113" s="120"/>
      <c r="P113" s="120"/>
      <c r="Q113" s="121"/>
      <c r="R113" s="114"/>
    </row>
    <row r="114" spans="1:18" ht="13.15" hidden="1" customHeight="1" x14ac:dyDescent="0.2">
      <c r="A114" s="32" t="s">
        <v>181</v>
      </c>
      <c r="B114" s="32"/>
      <c r="C114" s="32"/>
      <c r="D114" s="32"/>
      <c r="F114" s="46"/>
      <c r="G114" s="46"/>
      <c r="H114" s="46"/>
      <c r="I114" s="46"/>
      <c r="J114" s="46"/>
      <c r="K114" s="46"/>
      <c r="L114" s="46"/>
      <c r="M114" s="46"/>
      <c r="N114" s="46"/>
      <c r="O114" s="56"/>
      <c r="P114" s="56"/>
      <c r="Q114" s="57"/>
    </row>
    <row r="115" spans="1:18" ht="13.15" hidden="1" customHeight="1" x14ac:dyDescent="0.2">
      <c r="A115" s="26" t="s">
        <v>182</v>
      </c>
      <c r="E115" s="122">
        <v>-0.2</v>
      </c>
      <c r="F115" s="123">
        <f t="shared" ref="F115:Q115" si="63">(F65-F61-F62-F50)*$E115</f>
        <v>-19561.060800000003</v>
      </c>
      <c r="G115" s="123">
        <f t="shared" si="63"/>
        <v>-19562.451799999999</v>
      </c>
      <c r="H115" s="123">
        <f t="shared" si="63"/>
        <v>-20094.275599999994</v>
      </c>
      <c r="I115" s="123">
        <f t="shared" si="63"/>
        <v>-18369.195599999995</v>
      </c>
      <c r="J115" s="123">
        <f t="shared" si="63"/>
        <v>-18846.355</v>
      </c>
      <c r="K115" s="123">
        <f t="shared" si="63"/>
        <v>-19060.683000000001</v>
      </c>
      <c r="L115" s="123">
        <f t="shared" si="63"/>
        <v>-19258.464199999999</v>
      </c>
      <c r="M115" s="123">
        <f t="shared" si="63"/>
        <v>-19444.899999999994</v>
      </c>
      <c r="N115" s="123">
        <f t="shared" si="63"/>
        <v>-19726.623000000011</v>
      </c>
      <c r="O115" s="124">
        <f t="shared" si="63"/>
        <v>-19629.096600000001</v>
      </c>
      <c r="P115" s="124">
        <f t="shared" si="63"/>
        <v>-16837.050400000004</v>
      </c>
      <c r="Q115" s="125">
        <f t="shared" si="63"/>
        <v>-16962.117800000004</v>
      </c>
      <c r="R115" s="126">
        <f>SUM(F115:Q115)</f>
        <v>-227352.2738</v>
      </c>
    </row>
    <row r="116" spans="1:18" ht="13.15" hidden="1" customHeight="1" x14ac:dyDescent="0.2">
      <c r="A116" s="26" t="s">
        <v>183</v>
      </c>
      <c r="E116" s="127">
        <f>-1.1</f>
        <v>-1.1000000000000001</v>
      </c>
      <c r="F116" s="123">
        <f t="shared" ref="F116:Q116" si="64">F103*$E116</f>
        <v>-11553.710000000001</v>
      </c>
      <c r="G116" s="123">
        <f t="shared" si="64"/>
        <v>-10236.120000000001</v>
      </c>
      <c r="H116" s="123">
        <f t="shared" si="64"/>
        <v>-10162.629999999999</v>
      </c>
      <c r="I116" s="123">
        <f t="shared" si="64"/>
        <v>-8595.4578947368427</v>
      </c>
      <c r="J116" s="123">
        <f t="shared" si="64"/>
        <v>-13066.798684210527</v>
      </c>
      <c r="K116" s="123">
        <f t="shared" si="64"/>
        <v>-12617.680263157896</v>
      </c>
      <c r="L116" s="123">
        <f t="shared" si="64"/>
        <v>-9979.5980263157908</v>
      </c>
      <c r="M116" s="123">
        <f t="shared" si="64"/>
        <v>-12097.264473684212</v>
      </c>
      <c r="N116" s="123">
        <f t="shared" si="64"/>
        <v>-11117.526315789475</v>
      </c>
      <c r="O116" s="128">
        <f t="shared" si="64"/>
        <v>-11618.395394736843</v>
      </c>
      <c r="P116" s="128">
        <f t="shared" si="64"/>
        <v>-9744.6611842105267</v>
      </c>
      <c r="Q116" s="129">
        <f t="shared" si="64"/>
        <v>-9817.3697368421053</v>
      </c>
      <c r="R116" s="126">
        <f>SUM(F116:Q116)</f>
        <v>-130607.21197368423</v>
      </c>
    </row>
    <row r="117" spans="1:18" ht="13.15" hidden="1" customHeight="1" x14ac:dyDescent="0.2">
      <c r="A117" s="26" t="s">
        <v>184</v>
      </c>
      <c r="E117" s="127">
        <v>-1.4</v>
      </c>
      <c r="F117" s="123">
        <f t="shared" ref="F117:Q117" si="65">F105*$E117</f>
        <v>-76003.47</v>
      </c>
      <c r="G117" s="123">
        <f t="shared" si="65"/>
        <v>-74796.05</v>
      </c>
      <c r="H117" s="123">
        <f t="shared" si="65"/>
        <v>-71165.08</v>
      </c>
      <c r="I117" s="123">
        <f t="shared" si="65"/>
        <v>-52646.006217616581</v>
      </c>
      <c r="J117" s="123">
        <f t="shared" si="65"/>
        <v>-73987.199999999997</v>
      </c>
      <c r="K117" s="123">
        <f t="shared" si="65"/>
        <v>-74217.837305699475</v>
      </c>
      <c r="L117" s="123">
        <f t="shared" si="65"/>
        <v>-73815.884974093264</v>
      </c>
      <c r="M117" s="123">
        <f t="shared" si="65"/>
        <v>-75632.577202072542</v>
      </c>
      <c r="N117" s="123">
        <f t="shared" si="65"/>
        <v>-74321.255958549213</v>
      </c>
      <c r="O117" s="128">
        <f t="shared" si="65"/>
        <v>-73413.954404145086</v>
      </c>
      <c r="P117" s="128">
        <f t="shared" si="65"/>
        <v>-73197.179274611393</v>
      </c>
      <c r="Q117" s="129">
        <f t="shared" si="65"/>
        <v>-74158.660103626928</v>
      </c>
      <c r="R117" s="126">
        <f>SUM(F117:Q117)</f>
        <v>-867355.15544041456</v>
      </c>
    </row>
    <row r="118" spans="1:18" ht="13.15" hidden="1" customHeight="1" x14ac:dyDescent="0.2">
      <c r="F118" s="130">
        <f t="shared" ref="F118:R118" si="66">SUM(F115:F117)</f>
        <v>-107118.2408</v>
      </c>
      <c r="G118" s="130">
        <f t="shared" si="66"/>
        <v>-104594.62179999999</v>
      </c>
      <c r="H118" s="130">
        <f t="shared" si="66"/>
        <v>-101421.98559999999</v>
      </c>
      <c r="I118" s="130">
        <f t="shared" si="66"/>
        <v>-79610.659712353416</v>
      </c>
      <c r="J118" s="130">
        <f t="shared" si="66"/>
        <v>-105900.35368421052</v>
      </c>
      <c r="K118" s="130">
        <f t="shared" si="66"/>
        <v>-105896.20056885737</v>
      </c>
      <c r="L118" s="130">
        <f t="shared" si="66"/>
        <v>-103053.94720040905</v>
      </c>
      <c r="M118" s="130">
        <f t="shared" si="66"/>
        <v>-107174.74167575676</v>
      </c>
      <c r="N118" s="130">
        <f t="shared" si="66"/>
        <v>-105165.4052743387</v>
      </c>
      <c r="O118" s="131">
        <f t="shared" si="66"/>
        <v>-104661.44639888193</v>
      </c>
      <c r="P118" s="131">
        <f t="shared" si="66"/>
        <v>-99778.89085882192</v>
      </c>
      <c r="Q118" s="132">
        <f t="shared" si="66"/>
        <v>-100938.14764046903</v>
      </c>
      <c r="R118" s="131">
        <f t="shared" si="66"/>
        <v>-1225314.6412140988</v>
      </c>
    </row>
    <row r="119" spans="1:18" ht="13.15" hidden="1" customHeight="1" x14ac:dyDescent="0.2">
      <c r="F119" s="46"/>
      <c r="G119" s="46"/>
      <c r="H119" s="46"/>
      <c r="I119" s="46"/>
      <c r="J119" s="46"/>
      <c r="K119" s="46"/>
      <c r="L119" s="46"/>
      <c r="M119" s="46"/>
      <c r="N119" s="46"/>
      <c r="O119" s="56"/>
      <c r="P119" s="56"/>
      <c r="Q119" s="57"/>
    </row>
    <row r="120" spans="1:18" x14ac:dyDescent="0.2">
      <c r="B120" s="32" t="s">
        <v>14</v>
      </c>
      <c r="C120" s="32"/>
      <c r="D120" s="32"/>
      <c r="F120" s="46">
        <v>23</v>
      </c>
      <c r="G120" s="46">
        <v>23</v>
      </c>
      <c r="H120" s="46">
        <v>23</v>
      </c>
      <c r="I120" s="46">
        <v>23</v>
      </c>
      <c r="J120" s="46">
        <v>23</v>
      </c>
      <c r="K120" s="46">
        <v>23</v>
      </c>
      <c r="L120" s="46">
        <v>23</v>
      </c>
      <c r="M120" s="46">
        <v>23</v>
      </c>
      <c r="N120" s="46">
        <v>23</v>
      </c>
      <c r="O120" s="133">
        <v>23</v>
      </c>
      <c r="P120" s="133">
        <v>23</v>
      </c>
      <c r="Q120" s="134">
        <v>23</v>
      </c>
      <c r="R120" s="42">
        <f t="shared" ref="R120:R122" si="67">SUM(F120:Q120)</f>
        <v>276</v>
      </c>
    </row>
    <row r="121" spans="1:18" ht="13.15" customHeight="1" x14ac:dyDescent="0.2">
      <c r="B121" s="32" t="s">
        <v>17</v>
      </c>
      <c r="C121" s="135"/>
      <c r="D121" s="135"/>
      <c r="E121" s="136"/>
      <c r="F121" s="119"/>
      <c r="G121" s="119"/>
      <c r="H121" s="119"/>
      <c r="I121" s="119"/>
      <c r="J121" s="119"/>
      <c r="K121" s="119"/>
      <c r="L121" s="119"/>
      <c r="M121" s="119"/>
      <c r="N121" s="119"/>
      <c r="O121" s="105"/>
      <c r="P121" s="105"/>
      <c r="Q121" s="106"/>
      <c r="R121" s="79"/>
    </row>
    <row r="122" spans="1:18" ht="13.15" customHeight="1" x14ac:dyDescent="0.2">
      <c r="A122" s="26">
        <v>1</v>
      </c>
      <c r="B122" s="34" t="str">
        <f>B4</f>
        <v>Goodrich - North 2311008572</v>
      </c>
      <c r="C122" s="135"/>
      <c r="D122" s="135"/>
      <c r="E122" s="136"/>
      <c r="F122" s="119">
        <f t="shared" ref="F122:Q122" si="68">IF(F4&gt;6000000,F4-6000000,0)</f>
        <v>0</v>
      </c>
      <c r="G122" s="119">
        <f t="shared" si="68"/>
        <v>0</v>
      </c>
      <c r="H122" s="119">
        <f t="shared" si="68"/>
        <v>0</v>
      </c>
      <c r="I122" s="119">
        <f t="shared" si="68"/>
        <v>0</v>
      </c>
      <c r="J122" s="119">
        <f t="shared" si="68"/>
        <v>0</v>
      </c>
      <c r="K122" s="119">
        <f t="shared" si="68"/>
        <v>0</v>
      </c>
      <c r="L122" s="119">
        <f t="shared" si="68"/>
        <v>0</v>
      </c>
      <c r="M122" s="119">
        <f t="shared" si="68"/>
        <v>0</v>
      </c>
      <c r="N122" s="119">
        <f t="shared" si="68"/>
        <v>0</v>
      </c>
      <c r="O122" s="105">
        <f t="shared" si="68"/>
        <v>0</v>
      </c>
      <c r="P122" s="119">
        <f t="shared" si="68"/>
        <v>0</v>
      </c>
      <c r="Q122" s="119">
        <f t="shared" si="68"/>
        <v>0</v>
      </c>
      <c r="R122" s="137">
        <f t="shared" si="67"/>
        <v>0</v>
      </c>
    </row>
    <row r="123" spans="1:18" ht="13.15" customHeight="1" x14ac:dyDescent="0.2">
      <c r="A123" s="26">
        <v>9</v>
      </c>
      <c r="B123" s="34" t="str">
        <f>B12</f>
        <v>Inland Empire Paper</v>
      </c>
      <c r="C123" s="135"/>
      <c r="D123" s="135"/>
      <c r="E123" s="136"/>
      <c r="F123" s="138">
        <f t="shared" ref="F123:Q123" si="69">F12-6000000</f>
        <v>34848350</v>
      </c>
      <c r="G123" s="138">
        <f t="shared" si="69"/>
        <v>26724334</v>
      </c>
      <c r="H123" s="138">
        <f t="shared" si="69"/>
        <v>25040188</v>
      </c>
      <c r="I123" s="138">
        <f t="shared" si="69"/>
        <v>26529148</v>
      </c>
      <c r="J123" s="138">
        <f t="shared" si="69"/>
        <v>27764226</v>
      </c>
      <c r="K123" s="138">
        <f t="shared" si="69"/>
        <v>11662074</v>
      </c>
      <c r="L123" s="138">
        <f t="shared" si="69"/>
        <v>27902478</v>
      </c>
      <c r="M123" s="138">
        <f t="shared" si="69"/>
        <v>34852464</v>
      </c>
      <c r="N123" s="138">
        <f t="shared" si="69"/>
        <v>33406300</v>
      </c>
      <c r="O123" s="138">
        <f t="shared" si="69"/>
        <v>33072646</v>
      </c>
      <c r="P123" s="138">
        <f t="shared" si="69"/>
        <v>31955142</v>
      </c>
      <c r="Q123" s="138">
        <f t="shared" si="69"/>
        <v>33841864</v>
      </c>
      <c r="R123" s="139">
        <f>SUM(F123:Q123)</f>
        <v>347599214</v>
      </c>
    </row>
    <row r="124" spans="1:18" ht="13.15" customHeight="1" x14ac:dyDescent="0.2">
      <c r="B124" s="32" t="s">
        <v>185</v>
      </c>
      <c r="C124" s="135"/>
      <c r="D124" s="135"/>
      <c r="E124" s="136"/>
      <c r="F124" s="119">
        <f>F122+F123</f>
        <v>34848350</v>
      </c>
      <c r="G124" s="119">
        <f t="shared" ref="G124:Q124" si="70">G122+G123</f>
        <v>26724334</v>
      </c>
      <c r="H124" s="119">
        <f t="shared" si="70"/>
        <v>25040188</v>
      </c>
      <c r="I124" s="119">
        <f t="shared" si="70"/>
        <v>26529148</v>
      </c>
      <c r="J124" s="119">
        <f t="shared" si="70"/>
        <v>27764226</v>
      </c>
      <c r="K124" s="119">
        <f t="shared" si="70"/>
        <v>11662074</v>
      </c>
      <c r="L124" s="119">
        <f t="shared" si="70"/>
        <v>27902478</v>
      </c>
      <c r="M124" s="119">
        <f t="shared" si="70"/>
        <v>34852464</v>
      </c>
      <c r="N124" s="119">
        <f t="shared" si="70"/>
        <v>33406300</v>
      </c>
      <c r="O124" s="105">
        <f t="shared" si="70"/>
        <v>33072646</v>
      </c>
      <c r="P124" s="105">
        <f t="shared" si="70"/>
        <v>31955142</v>
      </c>
      <c r="Q124" s="106">
        <f t="shared" si="70"/>
        <v>33841864</v>
      </c>
      <c r="R124" s="42">
        <f t="shared" ref="R124:R126" si="71">SUM(F124:Q124)</f>
        <v>347599214</v>
      </c>
    </row>
    <row r="125" spans="1:18" ht="13.15" customHeight="1" x14ac:dyDescent="0.2">
      <c r="B125" s="32" t="s">
        <v>186</v>
      </c>
      <c r="C125" s="135"/>
      <c r="D125" s="135"/>
      <c r="E125" s="136"/>
      <c r="F125" s="119">
        <f>F127-F126-F124</f>
        <v>48565098.660000011</v>
      </c>
      <c r="G125" s="119">
        <f t="shared" ref="G125:Q125" si="72">G127-G126-G124</f>
        <v>44307385.569999978</v>
      </c>
      <c r="H125" s="119">
        <f t="shared" si="72"/>
        <v>44818110.069999978</v>
      </c>
      <c r="I125" s="119">
        <f t="shared" si="72"/>
        <v>37424730.390000001</v>
      </c>
      <c r="J125" s="119">
        <f t="shared" si="72"/>
        <v>33932085.51000002</v>
      </c>
      <c r="K125" s="119">
        <f t="shared" si="72"/>
        <v>39867014.971000008</v>
      </c>
      <c r="L125" s="119">
        <f t="shared" si="72"/>
        <v>41439298.637999982</v>
      </c>
      <c r="M125" s="119">
        <f t="shared" si="72"/>
        <v>44400029.409999982</v>
      </c>
      <c r="N125" s="119">
        <f t="shared" si="72"/>
        <v>41157455.541999996</v>
      </c>
      <c r="O125" s="105">
        <f t="shared" si="72"/>
        <v>41922588.502999976</v>
      </c>
      <c r="P125" s="105">
        <f t="shared" si="72"/>
        <v>37555992.030000016</v>
      </c>
      <c r="Q125" s="106">
        <f t="shared" si="72"/>
        <v>38082207.429999992</v>
      </c>
      <c r="R125" s="42">
        <f t="shared" si="71"/>
        <v>493471996.72399992</v>
      </c>
    </row>
    <row r="126" spans="1:18" ht="13.15" customHeight="1" x14ac:dyDescent="0.2">
      <c r="B126" s="32" t="s">
        <v>187</v>
      </c>
      <c r="C126" s="135"/>
      <c r="D126" s="135"/>
      <c r="E126" s="136"/>
      <c r="F126" s="119">
        <f>F120*500000</f>
        <v>11500000</v>
      </c>
      <c r="G126" s="119">
        <f t="shared" ref="G126:Q126" si="73">G120*500000</f>
        <v>11500000</v>
      </c>
      <c r="H126" s="119">
        <f t="shared" si="73"/>
        <v>11500000</v>
      </c>
      <c r="I126" s="119">
        <f t="shared" si="73"/>
        <v>11500000</v>
      </c>
      <c r="J126" s="119">
        <f t="shared" si="73"/>
        <v>11500000</v>
      </c>
      <c r="K126" s="119">
        <f t="shared" si="73"/>
        <v>11500000</v>
      </c>
      <c r="L126" s="119">
        <f t="shared" si="73"/>
        <v>11500000</v>
      </c>
      <c r="M126" s="119">
        <f t="shared" si="73"/>
        <v>11500000</v>
      </c>
      <c r="N126" s="119">
        <f t="shared" si="73"/>
        <v>11500000</v>
      </c>
      <c r="O126" s="119">
        <f t="shared" si="73"/>
        <v>11500000</v>
      </c>
      <c r="P126" s="119">
        <f t="shared" si="73"/>
        <v>11500000</v>
      </c>
      <c r="Q126" s="119">
        <f t="shared" si="73"/>
        <v>11500000</v>
      </c>
      <c r="R126" s="139">
        <f t="shared" si="71"/>
        <v>138000000</v>
      </c>
    </row>
    <row r="127" spans="1:18" ht="13.15" customHeight="1" x14ac:dyDescent="0.2">
      <c r="B127" s="32" t="s">
        <v>188</v>
      </c>
      <c r="C127" s="135"/>
      <c r="D127" s="135"/>
      <c r="E127" s="136"/>
      <c r="F127" s="52">
        <f t="shared" ref="F127:R127" si="74">F27</f>
        <v>94913448.660000011</v>
      </c>
      <c r="G127" s="52">
        <f t="shared" si="74"/>
        <v>82531719.569999978</v>
      </c>
      <c r="H127" s="52">
        <f t="shared" si="74"/>
        <v>81358298.069999978</v>
      </c>
      <c r="I127" s="52">
        <f t="shared" si="74"/>
        <v>75453878.390000001</v>
      </c>
      <c r="J127" s="52">
        <f t="shared" si="74"/>
        <v>73196311.51000002</v>
      </c>
      <c r="K127" s="52">
        <f t="shared" si="74"/>
        <v>63029088.971000008</v>
      </c>
      <c r="L127" s="52">
        <f t="shared" si="74"/>
        <v>80841776.637999982</v>
      </c>
      <c r="M127" s="52">
        <f t="shared" si="74"/>
        <v>90752493.409999982</v>
      </c>
      <c r="N127" s="52">
        <f t="shared" si="74"/>
        <v>86063755.541999996</v>
      </c>
      <c r="O127" s="52">
        <f t="shared" si="74"/>
        <v>86495234.502999976</v>
      </c>
      <c r="P127" s="52">
        <f t="shared" si="74"/>
        <v>81011134.030000016</v>
      </c>
      <c r="Q127" s="53">
        <f t="shared" si="74"/>
        <v>83424071.429999992</v>
      </c>
      <c r="R127" s="52">
        <f t="shared" si="74"/>
        <v>979071210.7240001</v>
      </c>
    </row>
    <row r="128" spans="1:18" ht="13.15" customHeight="1" x14ac:dyDescent="0.2">
      <c r="B128" s="135"/>
      <c r="C128" s="135"/>
      <c r="D128" s="135"/>
      <c r="E128" s="136"/>
      <c r="F128" s="119"/>
      <c r="G128" s="119"/>
      <c r="H128" s="119"/>
      <c r="I128" s="119"/>
      <c r="J128" s="119"/>
      <c r="K128" s="119"/>
      <c r="L128" s="119"/>
      <c r="M128" s="119"/>
      <c r="N128" s="119"/>
      <c r="O128" s="105"/>
      <c r="P128" s="105"/>
      <c r="Q128" s="106"/>
      <c r="R128" s="79"/>
    </row>
    <row r="129" spans="2:18" ht="13.15" customHeight="1" x14ac:dyDescent="0.2">
      <c r="B129" s="34" t="s">
        <v>189</v>
      </c>
      <c r="C129" s="34" t="s">
        <v>190</v>
      </c>
      <c r="D129" s="135"/>
      <c r="E129" s="136"/>
      <c r="F129" s="119">
        <f>F65-F62-F61-F63-F50</f>
        <v>91862.228999999992</v>
      </c>
      <c r="G129" s="119">
        <f t="shared" ref="G129:Q129" si="75">G65-G62-G61-G63-G50</f>
        <v>91463.438999999984</v>
      </c>
      <c r="H129" s="119">
        <f t="shared" si="75"/>
        <v>90261.339999999967</v>
      </c>
      <c r="I129" s="119">
        <f t="shared" si="75"/>
        <v>85882.390999999974</v>
      </c>
      <c r="J129" s="119">
        <f t="shared" si="75"/>
        <v>89866.217000000004</v>
      </c>
      <c r="K129" s="119">
        <f t="shared" si="75"/>
        <v>92131.768000000011</v>
      </c>
      <c r="L129" s="119">
        <f t="shared" si="75"/>
        <v>94622.919999999984</v>
      </c>
      <c r="M129" s="119">
        <f t="shared" si="75"/>
        <v>93400.699999999983</v>
      </c>
      <c r="N129" s="119">
        <f t="shared" si="75"/>
        <v>92996.649000000063</v>
      </c>
      <c r="O129" s="119">
        <f t="shared" si="75"/>
        <v>94000.083000000013</v>
      </c>
      <c r="P129" s="119">
        <f t="shared" si="75"/>
        <v>82563.600000000006</v>
      </c>
      <c r="Q129" s="119">
        <f t="shared" si="75"/>
        <v>83549.407000000007</v>
      </c>
      <c r="R129" s="137">
        <f t="shared" ref="R129:R131" si="76">SUM(F129:Q129)</f>
        <v>1082600.7429999998</v>
      </c>
    </row>
    <row r="130" spans="2:18" ht="13.15" customHeight="1" x14ac:dyDescent="0.2">
      <c r="B130" s="34" t="s">
        <v>191</v>
      </c>
      <c r="C130" s="34" t="s">
        <v>190</v>
      </c>
      <c r="D130" s="135"/>
      <c r="E130" s="136"/>
      <c r="F130" s="119">
        <f>F103</f>
        <v>10503.372727272726</v>
      </c>
      <c r="G130" s="119">
        <f t="shared" ref="G130:Q130" si="77">G103</f>
        <v>9305.5636363636368</v>
      </c>
      <c r="H130" s="119">
        <f t="shared" si="77"/>
        <v>9238.7545454545434</v>
      </c>
      <c r="I130" s="119">
        <f t="shared" si="77"/>
        <v>7814.0526315789475</v>
      </c>
      <c r="J130" s="119">
        <f t="shared" si="77"/>
        <v>11878.907894736842</v>
      </c>
      <c r="K130" s="119">
        <f t="shared" si="77"/>
        <v>11470.618421052632</v>
      </c>
      <c r="L130" s="119">
        <f t="shared" si="77"/>
        <v>9072.3618421052633</v>
      </c>
      <c r="M130" s="119">
        <f t="shared" si="77"/>
        <v>10997.513157894737</v>
      </c>
      <c r="N130" s="119">
        <f t="shared" si="77"/>
        <v>10106.842105263158</v>
      </c>
      <c r="O130" s="105">
        <f t="shared" si="77"/>
        <v>10562.177631578947</v>
      </c>
      <c r="P130" s="105">
        <f t="shared" si="77"/>
        <v>8858.7828947368416</v>
      </c>
      <c r="Q130" s="106">
        <f t="shared" si="77"/>
        <v>8924.8815789473683</v>
      </c>
      <c r="R130" s="42">
        <f t="shared" si="76"/>
        <v>118733.82906698565</v>
      </c>
    </row>
    <row r="131" spans="2:18" ht="13.15" customHeight="1" x14ac:dyDescent="0.2">
      <c r="B131" s="34" t="s">
        <v>192</v>
      </c>
      <c r="C131" s="34" t="s">
        <v>190</v>
      </c>
      <c r="D131" s="135"/>
      <c r="E131" s="136"/>
      <c r="F131" s="119">
        <f>F105</f>
        <v>54288.192857142858</v>
      </c>
      <c r="G131" s="119">
        <f t="shared" ref="G131:Q131" si="78">G105</f>
        <v>53425.750000000007</v>
      </c>
      <c r="H131" s="119">
        <f t="shared" si="78"/>
        <v>50832.200000000004</v>
      </c>
      <c r="I131" s="119">
        <f t="shared" si="78"/>
        <v>37604.290155440416</v>
      </c>
      <c r="J131" s="119">
        <f t="shared" si="78"/>
        <v>52848</v>
      </c>
      <c r="K131" s="119">
        <f t="shared" si="78"/>
        <v>53012.740932642489</v>
      </c>
      <c r="L131" s="119">
        <f t="shared" si="78"/>
        <v>52725.632124352334</v>
      </c>
      <c r="M131" s="119">
        <f t="shared" si="78"/>
        <v>54023.26943005182</v>
      </c>
      <c r="N131" s="119">
        <f t="shared" si="78"/>
        <v>53086.611398963731</v>
      </c>
      <c r="O131" s="105">
        <f t="shared" si="78"/>
        <v>52438.538860103632</v>
      </c>
      <c r="P131" s="105">
        <f t="shared" si="78"/>
        <v>52283.699481865282</v>
      </c>
      <c r="Q131" s="106">
        <f t="shared" si="78"/>
        <v>52970.47150259067</v>
      </c>
      <c r="R131" s="42">
        <f t="shared" si="76"/>
        <v>619539.39674315334</v>
      </c>
    </row>
    <row r="132" spans="2:18" ht="13.15" customHeight="1" x14ac:dyDescent="0.2">
      <c r="B132" s="135"/>
      <c r="C132" s="135"/>
      <c r="D132" s="135"/>
      <c r="E132" s="136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79"/>
    </row>
    <row r="133" spans="2:18" ht="13.15" customHeight="1" x14ac:dyDescent="0.2">
      <c r="B133" s="135"/>
      <c r="C133" s="135"/>
      <c r="D133" s="135"/>
      <c r="E133" s="136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79"/>
    </row>
    <row r="134" spans="2:18" ht="13.15" customHeight="1" x14ac:dyDescent="0.2">
      <c r="B134" s="135"/>
      <c r="C134" s="135"/>
      <c r="D134" s="135"/>
      <c r="E134" s="136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79"/>
    </row>
    <row r="135" spans="2:18" ht="13.15" customHeight="1" x14ac:dyDescent="0.2">
      <c r="B135" s="135"/>
      <c r="C135" s="135"/>
      <c r="D135" s="135"/>
      <c r="E135" s="136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79"/>
    </row>
    <row r="136" spans="2:18" ht="13.15" customHeight="1" x14ac:dyDescent="0.2">
      <c r="B136" s="135"/>
      <c r="C136" s="135"/>
      <c r="D136" s="135"/>
      <c r="E136" s="136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79"/>
    </row>
    <row r="137" spans="2:18" ht="13.15" customHeight="1" x14ac:dyDescent="0.2">
      <c r="B137" s="135"/>
      <c r="C137" s="135"/>
      <c r="D137" s="135"/>
      <c r="E137" s="136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79"/>
    </row>
    <row r="138" spans="2:18" ht="13.15" customHeight="1" x14ac:dyDescent="0.2">
      <c r="B138" s="135"/>
      <c r="C138" s="135"/>
      <c r="D138" s="135"/>
      <c r="E138" s="136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79"/>
    </row>
    <row r="139" spans="2:18" ht="13.15" customHeight="1" x14ac:dyDescent="0.2">
      <c r="B139" s="135"/>
      <c r="C139" s="135"/>
      <c r="D139" s="135"/>
      <c r="E139" s="136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79"/>
    </row>
    <row r="140" spans="2:18" ht="13.15" customHeight="1" x14ac:dyDescent="0.2">
      <c r="B140" s="135"/>
      <c r="C140" s="135"/>
      <c r="D140" s="135"/>
      <c r="E140" s="136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79"/>
    </row>
    <row r="141" spans="2:18" ht="13.15" customHeight="1" x14ac:dyDescent="0.2">
      <c r="B141" s="135"/>
      <c r="C141" s="135"/>
      <c r="D141" s="135"/>
      <c r="E141" s="136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79"/>
    </row>
    <row r="142" spans="2:18" ht="13.15" customHeight="1" x14ac:dyDescent="0.2">
      <c r="R142" s="79"/>
    </row>
    <row r="143" spans="2:18" ht="13.15" customHeight="1" x14ac:dyDescent="0.2">
      <c r="R143" s="79"/>
    </row>
  </sheetData>
  <conditionalFormatting sqref="R39">
    <cfRule type="expression" dxfId="2" priority="3" stopIfTrue="1">
      <formula>ABS(R39-#REF!)&gt;1</formula>
    </cfRule>
  </conditionalFormatting>
  <conditionalFormatting sqref="U28">
    <cfRule type="cellIs" dxfId="1" priority="1" operator="notEqual">
      <formula>$R$27</formula>
    </cfRule>
    <cfRule type="expression" dxfId="0" priority="2" stopIfTrue="1">
      <formula>ABS($R$27-$U$28)&gt;0.5</formula>
    </cfRule>
  </conditionalFormatting>
  <printOptions horizontalCentered="1"/>
  <pageMargins left="0.5" right="0.56000000000000005" top="0.87" bottom="0.21" header="0.4" footer="0.49"/>
  <pageSetup scale="62" fitToHeight="2" orientation="landscape" r:id="rId1"/>
  <headerFooter alignWithMargins="0">
    <oddFooter>&amp;C&amp;F / &amp;A</oddFooter>
  </headerFooter>
  <rowBreaks count="1" manualBreakCount="1">
    <brk id="67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50"/>
  <sheetViews>
    <sheetView tabSelected="1" zoomScale="86" zoomScaleNormal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5" x14ac:dyDescent="0.25"/>
  <cols>
    <col min="1" max="1" width="7.5703125" customWidth="1"/>
    <col min="2" max="2" width="22.140625" customWidth="1"/>
    <col min="3" max="3" width="1.5703125" customWidth="1"/>
    <col min="4" max="9" width="14.28515625" customWidth="1"/>
    <col min="10" max="10" width="14.42578125" customWidth="1"/>
    <col min="11" max="11" width="14.28515625" customWidth="1"/>
    <col min="12" max="12" width="14.85546875" customWidth="1"/>
    <col min="13" max="13" width="14.28515625" customWidth="1"/>
    <col min="14" max="14" width="14.7109375" style="10" customWidth="1"/>
    <col min="15" max="15" width="15" style="10" customWidth="1"/>
    <col min="16" max="16" width="16.7109375" customWidth="1"/>
    <col min="17" max="17" width="14.7109375" customWidth="1"/>
    <col min="18" max="18" width="11.5703125" style="143" customWidth="1"/>
    <col min="19" max="19" width="13" customWidth="1"/>
    <col min="20" max="20" width="14" customWidth="1"/>
    <col min="21" max="21" width="13.5703125" customWidth="1"/>
    <col min="22" max="22" width="12.42578125" customWidth="1"/>
    <col min="23" max="23" width="12.85546875" customWidth="1"/>
    <col min="24" max="25" width="13.85546875" customWidth="1"/>
    <col min="26" max="26" width="13.5703125" customWidth="1"/>
    <col min="27" max="27" width="12.42578125" customWidth="1"/>
    <col min="28" max="28" width="12.85546875" customWidth="1"/>
    <col min="29" max="29" width="12.42578125" style="10" customWidth="1"/>
    <col min="30" max="30" width="13.5703125" style="10" customWidth="1"/>
    <col min="31" max="31" width="14.7109375" customWidth="1"/>
    <col min="32" max="32" width="18" customWidth="1"/>
    <col min="33" max="33" width="8.85546875" hidden="1" customWidth="1"/>
  </cols>
  <sheetData>
    <row r="1" spans="1:31" x14ac:dyDescent="0.25">
      <c r="A1" t="s">
        <v>0</v>
      </c>
      <c r="R1" s="143" t="s">
        <v>196</v>
      </c>
    </row>
    <row r="2" spans="1:31" x14ac:dyDescent="0.25">
      <c r="B2">
        <v>2020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3" t="s">
        <v>11</v>
      </c>
      <c r="O2" s="13" t="s">
        <v>12</v>
      </c>
      <c r="P2" s="1" t="s">
        <v>13</v>
      </c>
      <c r="Q2" s="1" t="s">
        <v>29</v>
      </c>
      <c r="R2" s="143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3" t="s">
        <v>11</v>
      </c>
      <c r="AD2" s="13" t="s">
        <v>12</v>
      </c>
      <c r="AE2" s="1" t="s">
        <v>13</v>
      </c>
    </row>
    <row r="3" spans="1:31" x14ac:dyDescent="0.25">
      <c r="A3" t="s">
        <v>34</v>
      </c>
      <c r="B3" t="s">
        <v>14</v>
      </c>
      <c r="D3" s="8">
        <v>220740</v>
      </c>
      <c r="E3" s="8">
        <v>219872</v>
      </c>
      <c r="F3" s="8">
        <v>220217</v>
      </c>
      <c r="G3" s="8">
        <v>220173</v>
      </c>
      <c r="H3" s="8">
        <v>219781</v>
      </c>
      <c r="I3" s="8">
        <v>220196</v>
      </c>
      <c r="J3" s="8">
        <v>220356</v>
      </c>
      <c r="K3" s="8">
        <v>220439</v>
      </c>
      <c r="L3" s="8">
        <v>221354</v>
      </c>
      <c r="M3" s="8">
        <v>221504</v>
      </c>
      <c r="N3" s="8">
        <v>221521</v>
      </c>
      <c r="O3" s="8">
        <v>222513</v>
      </c>
      <c r="P3" s="2">
        <f>SUM(D3:O3)</f>
        <v>2648666</v>
      </c>
      <c r="Q3" s="11">
        <v>574</v>
      </c>
      <c r="R3" s="150">
        <v>9</v>
      </c>
      <c r="S3" s="3">
        <f t="shared" ref="S3:S15" si="0">$R3*D3</f>
        <v>1986660</v>
      </c>
      <c r="T3" s="3">
        <f t="shared" ref="T3:T15" si="1">$R3*E3</f>
        <v>1978848</v>
      </c>
      <c r="U3" s="3">
        <f t="shared" ref="U3:U15" si="2">$R3*F3</f>
        <v>1981953</v>
      </c>
      <c r="V3" s="3">
        <f t="shared" ref="V3:V15" si="3">$R3*G3</f>
        <v>1981557</v>
      </c>
      <c r="W3" s="3">
        <f t="shared" ref="W3:W15" si="4">$R3*H3</f>
        <v>1978029</v>
      </c>
      <c r="X3" s="3">
        <f t="shared" ref="X3:X15" si="5">$R3*I3</f>
        <v>1981764</v>
      </c>
      <c r="Y3" s="3">
        <f t="shared" ref="Y3:Y15" si="6">$R3*J3</f>
        <v>1983204</v>
      </c>
      <c r="Z3" s="3">
        <f t="shared" ref="Z3:Z15" si="7">$R3*K3</f>
        <v>1983951</v>
      </c>
      <c r="AA3" s="3">
        <f t="shared" ref="AA3:AA15" si="8">$R3*L3</f>
        <v>1992186</v>
      </c>
      <c r="AB3" s="3">
        <f t="shared" ref="AB3:AB15" si="9">$R3*M3</f>
        <v>1993536</v>
      </c>
      <c r="AC3" s="16">
        <f t="shared" ref="AC3:AC15" si="10">$R3*N3</f>
        <v>1993689</v>
      </c>
      <c r="AD3" s="16">
        <f t="shared" ref="AD3:AD15" si="11">$R3*O3</f>
        <v>2002617</v>
      </c>
      <c r="AE3" s="3">
        <f>SUM(S3:AD3)</f>
        <v>23837994</v>
      </c>
    </row>
    <row r="4" spans="1:31" x14ac:dyDescent="0.25">
      <c r="B4" t="s">
        <v>15</v>
      </c>
      <c r="D4" s="8">
        <v>150531913.97657999</v>
      </c>
      <c r="E4" s="8">
        <v>144895096.23846</v>
      </c>
      <c r="F4" s="8">
        <v>142100904.79348001</v>
      </c>
      <c r="G4" s="8">
        <v>138812867.50944999</v>
      </c>
      <c r="H4" s="8">
        <v>127111009.75707</v>
      </c>
      <c r="I4" s="8">
        <v>125833611.40834001</v>
      </c>
      <c r="J4" s="8">
        <v>129568534.28317</v>
      </c>
      <c r="K4" s="8">
        <v>139753928.56446999</v>
      </c>
      <c r="L4" s="8">
        <v>136902163.48631001</v>
      </c>
      <c r="M4" s="8">
        <v>126405443.53719001</v>
      </c>
      <c r="N4" s="8">
        <v>140824890.27610001</v>
      </c>
      <c r="O4" s="8">
        <v>152919276.62445</v>
      </c>
      <c r="P4" s="2">
        <f t="shared" ref="P4:P67" si="12">SUM(D4:O4)</f>
        <v>1655659640.4550698</v>
      </c>
      <c r="Q4" s="11">
        <f>IF(P4-P3*Q3&gt;0,P4-P3*Q3,0)</f>
        <v>135325356.45506978</v>
      </c>
      <c r="R4" s="151">
        <v>8.0759999999999998E-2</v>
      </c>
      <c r="S4" s="3">
        <f>$R4*D4</f>
        <v>12156957.3727486</v>
      </c>
      <c r="T4" s="3">
        <f t="shared" si="1"/>
        <v>11701727.972218029</v>
      </c>
      <c r="U4" s="3">
        <f t="shared" si="2"/>
        <v>11476069.071121445</v>
      </c>
      <c r="V4" s="3">
        <f t="shared" si="3"/>
        <v>11210527.180063181</v>
      </c>
      <c r="W4" s="3">
        <f t="shared" si="4"/>
        <v>10265485.147980973</v>
      </c>
      <c r="X4" s="3">
        <f t="shared" si="5"/>
        <v>10162322.45733754</v>
      </c>
      <c r="Y4" s="3">
        <f t="shared" si="6"/>
        <v>10463954.828708809</v>
      </c>
      <c r="Z4" s="3">
        <f t="shared" si="7"/>
        <v>11286527.270866597</v>
      </c>
      <c r="AA4" s="3">
        <f t="shared" si="8"/>
        <v>11056218.723154396</v>
      </c>
      <c r="AB4" s="3">
        <f t="shared" si="9"/>
        <v>10208503.620063465</v>
      </c>
      <c r="AC4" s="16">
        <f t="shared" si="10"/>
        <v>11373018.138697837</v>
      </c>
      <c r="AD4" s="16">
        <f t="shared" si="11"/>
        <v>12349760.780190581</v>
      </c>
      <c r="AE4" s="3">
        <f t="shared" ref="AE4:AE54" si="13">SUM(S4:AD4)</f>
        <v>133711072.56315146</v>
      </c>
    </row>
    <row r="5" spans="1:31" x14ac:dyDescent="0.25">
      <c r="B5" t="s">
        <v>16</v>
      </c>
      <c r="D5" s="8">
        <v>62364123.755419999</v>
      </c>
      <c r="E5" s="8">
        <v>53843073.033540003</v>
      </c>
      <c r="F5" s="8">
        <v>48647981.368519999</v>
      </c>
      <c r="G5" s="8">
        <v>42777580.00953</v>
      </c>
      <c r="H5" s="8">
        <v>26570060.221080001</v>
      </c>
      <c r="I5" s="8">
        <v>24620834.74064</v>
      </c>
      <c r="J5" s="8">
        <v>30932781.40882</v>
      </c>
      <c r="K5" s="8">
        <v>47445953.787540004</v>
      </c>
      <c r="L5" s="8">
        <v>40095927.25169</v>
      </c>
      <c r="M5" s="8">
        <v>23993897.59581</v>
      </c>
      <c r="N5" s="8">
        <v>41865326.177900001</v>
      </c>
      <c r="O5" s="8">
        <v>64557558.312550001</v>
      </c>
      <c r="P5" s="2">
        <f t="shared" si="12"/>
        <v>507715097.66303998</v>
      </c>
      <c r="Q5" s="11">
        <f>IF(P4-P3*Q3&lt;0,P5+P4-P3*Q3,P5)</f>
        <v>507715097.66303998</v>
      </c>
      <c r="R5" s="151">
        <v>9.4E-2</v>
      </c>
      <c r="S5" s="3">
        <f t="shared" si="0"/>
        <v>5862227.6330094803</v>
      </c>
      <c r="T5" s="3">
        <f t="shared" si="1"/>
        <v>5061248.8651527604</v>
      </c>
      <c r="U5" s="3">
        <f t="shared" si="2"/>
        <v>4572910.24864088</v>
      </c>
      <c r="V5" s="3">
        <f t="shared" si="3"/>
        <v>4021092.5208958201</v>
      </c>
      <c r="W5" s="3">
        <f t="shared" si="4"/>
        <v>2497585.66078152</v>
      </c>
      <c r="X5" s="3">
        <f t="shared" si="5"/>
        <v>2314358.4656201601</v>
      </c>
      <c r="Y5" s="3">
        <f t="shared" si="6"/>
        <v>2907681.4524290799</v>
      </c>
      <c r="Z5" s="3">
        <f t="shared" si="7"/>
        <v>4459919.6560287606</v>
      </c>
      <c r="AA5" s="3">
        <f t="shared" si="8"/>
        <v>3769017.1616588598</v>
      </c>
      <c r="AB5" s="3">
        <f t="shared" si="9"/>
        <v>2255426.37400614</v>
      </c>
      <c r="AC5" s="16">
        <f t="shared" si="10"/>
        <v>3935340.6607226003</v>
      </c>
      <c r="AD5" s="16">
        <f t="shared" si="11"/>
        <v>6068410.4813796999</v>
      </c>
      <c r="AE5" s="3">
        <f t="shared" si="13"/>
        <v>47725219.180325761</v>
      </c>
    </row>
    <row r="6" spans="1:31" x14ac:dyDescent="0.25">
      <c r="B6" t="s">
        <v>17</v>
      </c>
      <c r="D6" s="8">
        <v>47733424.967</v>
      </c>
      <c r="E6" s="8">
        <v>37037401.563000001</v>
      </c>
      <c r="F6" s="8">
        <v>29908445.381999999</v>
      </c>
      <c r="G6" s="8">
        <v>20719559.73254</v>
      </c>
      <c r="H6" s="8">
        <v>8000592.2169899996</v>
      </c>
      <c r="I6" s="8">
        <v>6713100.1869900003</v>
      </c>
      <c r="J6" s="8">
        <v>9406101.5769999996</v>
      </c>
      <c r="K6" s="8">
        <v>17996834.548</v>
      </c>
      <c r="L6" s="8">
        <v>14482022.914000001</v>
      </c>
      <c r="M6" s="8">
        <v>6466737.0439999998</v>
      </c>
      <c r="N6" s="8">
        <v>19695168.544</v>
      </c>
      <c r="O6" s="8">
        <v>48013860.729000002</v>
      </c>
      <c r="P6" s="2">
        <f t="shared" si="12"/>
        <v>266173249.40452</v>
      </c>
      <c r="Q6" s="11">
        <f>P6</f>
        <v>266173249.40452</v>
      </c>
      <c r="R6" s="151">
        <v>0.11026</v>
      </c>
      <c r="S6" s="3">
        <f t="shared" si="0"/>
        <v>5263087.4368614201</v>
      </c>
      <c r="T6" s="3">
        <f t="shared" si="1"/>
        <v>4083743.8963363799</v>
      </c>
      <c r="U6" s="3">
        <f t="shared" si="2"/>
        <v>3297705.1878193198</v>
      </c>
      <c r="V6" s="3">
        <f t="shared" si="3"/>
        <v>2284538.6561098602</v>
      </c>
      <c r="W6" s="3">
        <f t="shared" si="4"/>
        <v>882145.29784531728</v>
      </c>
      <c r="X6" s="3">
        <f t="shared" si="5"/>
        <v>740186.42661751737</v>
      </c>
      <c r="Y6" s="3">
        <f t="shared" si="6"/>
        <v>1037116.7598800199</v>
      </c>
      <c r="Z6" s="3">
        <f t="shared" si="7"/>
        <v>1984330.97726248</v>
      </c>
      <c r="AA6" s="3">
        <f t="shared" si="8"/>
        <v>1596787.84649764</v>
      </c>
      <c r="AB6" s="3">
        <f t="shared" si="9"/>
        <v>713022.42647144001</v>
      </c>
      <c r="AC6" s="16">
        <f t="shared" si="10"/>
        <v>2171589.28366144</v>
      </c>
      <c r="AD6" s="16">
        <f t="shared" si="11"/>
        <v>5294008.2839795398</v>
      </c>
      <c r="AE6" s="3">
        <f t="shared" si="13"/>
        <v>29348262.479342371</v>
      </c>
    </row>
    <row r="7" spans="1:31" x14ac:dyDescent="0.25">
      <c r="A7" t="s">
        <v>35</v>
      </c>
      <c r="B7" t="s">
        <v>14</v>
      </c>
      <c r="D7" s="8">
        <v>380</v>
      </c>
      <c r="E7" s="8">
        <v>399</v>
      </c>
      <c r="F7" s="8">
        <v>419</v>
      </c>
      <c r="G7" s="8">
        <v>431</v>
      </c>
      <c r="H7" s="8">
        <v>431</v>
      </c>
      <c r="I7" s="8">
        <v>440</v>
      </c>
      <c r="J7" s="8">
        <v>443</v>
      </c>
      <c r="K7" s="8">
        <v>445</v>
      </c>
      <c r="L7" s="8">
        <v>457</v>
      </c>
      <c r="M7" s="8">
        <v>449</v>
      </c>
      <c r="N7" s="8">
        <v>482</v>
      </c>
      <c r="O7" s="8">
        <v>482</v>
      </c>
      <c r="P7" s="2">
        <f t="shared" si="12"/>
        <v>5258</v>
      </c>
      <c r="Q7" s="11"/>
      <c r="R7" s="150">
        <v>9</v>
      </c>
      <c r="S7" s="3">
        <f t="shared" si="0"/>
        <v>3420</v>
      </c>
      <c r="T7" s="3">
        <f t="shared" si="1"/>
        <v>3591</v>
      </c>
      <c r="U7" s="3">
        <f t="shared" si="2"/>
        <v>3771</v>
      </c>
      <c r="V7" s="3">
        <f t="shared" si="3"/>
        <v>3879</v>
      </c>
      <c r="W7" s="3">
        <f t="shared" si="4"/>
        <v>3879</v>
      </c>
      <c r="X7" s="3">
        <f t="shared" si="5"/>
        <v>3960</v>
      </c>
      <c r="Y7" s="3">
        <f t="shared" si="6"/>
        <v>3987</v>
      </c>
      <c r="Z7" s="3">
        <f t="shared" si="7"/>
        <v>4005</v>
      </c>
      <c r="AA7" s="3">
        <f t="shared" si="8"/>
        <v>4113</v>
      </c>
      <c r="AB7" s="3">
        <f t="shared" si="9"/>
        <v>4041</v>
      </c>
      <c r="AC7" s="16">
        <f t="shared" si="10"/>
        <v>4338</v>
      </c>
      <c r="AD7" s="16">
        <f t="shared" si="11"/>
        <v>4338</v>
      </c>
      <c r="AE7" s="3">
        <f t="shared" si="13"/>
        <v>47322</v>
      </c>
    </row>
    <row r="8" spans="1:31" x14ac:dyDescent="0.25">
      <c r="B8" t="s">
        <v>15</v>
      </c>
      <c r="D8" s="8">
        <v>278163.59600000002</v>
      </c>
      <c r="E8" s="8">
        <v>284699.14432999998</v>
      </c>
      <c r="F8" s="8">
        <v>299957.20899999997</v>
      </c>
      <c r="G8" s="8">
        <v>298775.92371</v>
      </c>
      <c r="H8" s="8">
        <v>267284.15000000002</v>
      </c>
      <c r="I8" s="8">
        <v>260626.88800000001</v>
      </c>
      <c r="J8" s="8">
        <v>259780.731</v>
      </c>
      <c r="K8" s="8">
        <v>278857.13500000001</v>
      </c>
      <c r="L8" s="8">
        <v>278483.32867000002</v>
      </c>
      <c r="M8" s="8">
        <v>266083.26166999998</v>
      </c>
      <c r="N8" s="8">
        <v>336513.62666000001</v>
      </c>
      <c r="O8" s="8">
        <v>359887.62599999999</v>
      </c>
      <c r="P8" s="2">
        <f t="shared" si="12"/>
        <v>3469112.6200400004</v>
      </c>
      <c r="Q8" s="11"/>
      <c r="R8" s="151">
        <v>5.0119999999999998E-2</v>
      </c>
      <c r="S8" s="3">
        <f t="shared" si="0"/>
        <v>13941.55943152</v>
      </c>
      <c r="T8" s="3">
        <f t="shared" si="1"/>
        <v>14269.121113819598</v>
      </c>
      <c r="U8" s="3">
        <f t="shared" si="2"/>
        <v>15033.855315079998</v>
      </c>
      <c r="V8" s="3">
        <f t="shared" si="3"/>
        <v>14974.6492963452</v>
      </c>
      <c r="W8" s="3">
        <f t="shared" si="4"/>
        <v>13396.281598000001</v>
      </c>
      <c r="X8" s="3">
        <f t="shared" si="5"/>
        <v>13062.619626559999</v>
      </c>
      <c r="Y8" s="3">
        <f t="shared" si="6"/>
        <v>13020.210237719999</v>
      </c>
      <c r="Z8" s="3">
        <f t="shared" si="7"/>
        <v>13976.319606200001</v>
      </c>
      <c r="AA8" s="3">
        <f t="shared" si="8"/>
        <v>13957.584432940401</v>
      </c>
      <c r="AB8" s="3">
        <f t="shared" si="9"/>
        <v>13336.093074900398</v>
      </c>
      <c r="AC8" s="16">
        <f t="shared" si="10"/>
        <v>16866.0629681992</v>
      </c>
      <c r="AD8" s="16">
        <f t="shared" si="11"/>
        <v>18037.567815119997</v>
      </c>
      <c r="AE8" s="3">
        <f t="shared" si="13"/>
        <v>173871.9245164048</v>
      </c>
    </row>
    <row r="9" spans="1:31" x14ac:dyDescent="0.25">
      <c r="B9" t="s">
        <v>16</v>
      </c>
      <c r="D9" s="8">
        <v>146735.85399999999</v>
      </c>
      <c r="E9" s="8">
        <v>139503.52666999999</v>
      </c>
      <c r="F9" s="8">
        <v>136745.516</v>
      </c>
      <c r="G9" s="8">
        <v>121399.38141</v>
      </c>
      <c r="H9" s="8">
        <v>66442.645999999993</v>
      </c>
      <c r="I9" s="8">
        <v>52916.75</v>
      </c>
      <c r="J9" s="8">
        <v>53548.56</v>
      </c>
      <c r="K9" s="8">
        <v>71477.188999999998</v>
      </c>
      <c r="L9" s="8">
        <v>65279.461329999998</v>
      </c>
      <c r="M9" s="8">
        <v>50320.854330000002</v>
      </c>
      <c r="N9" s="8">
        <v>135188.30233999999</v>
      </c>
      <c r="O9" s="8">
        <v>194714.62100000001</v>
      </c>
      <c r="P9" s="2">
        <f t="shared" si="12"/>
        <v>1234272.6620799999</v>
      </c>
      <c r="Q9" s="11"/>
      <c r="R9" s="151">
        <v>6.336E-2</v>
      </c>
      <c r="S9" s="3">
        <f t="shared" si="0"/>
        <v>9297.1837094399998</v>
      </c>
      <c r="T9" s="3">
        <f t="shared" si="1"/>
        <v>8838.9434498111987</v>
      </c>
      <c r="U9" s="3">
        <f t="shared" si="2"/>
        <v>8664.1958937599993</v>
      </c>
      <c r="V9" s="3">
        <f t="shared" si="3"/>
        <v>7691.8648061375998</v>
      </c>
      <c r="W9" s="3">
        <f t="shared" si="4"/>
        <v>4209.8060505599997</v>
      </c>
      <c r="X9" s="3">
        <f t="shared" si="5"/>
        <v>3352.80528</v>
      </c>
      <c r="Y9" s="3">
        <f t="shared" si="6"/>
        <v>3392.8367616</v>
      </c>
      <c r="Z9" s="3">
        <f t="shared" si="7"/>
        <v>4528.7946950400001</v>
      </c>
      <c r="AA9" s="3">
        <f t="shared" si="8"/>
        <v>4136.1066698688001</v>
      </c>
      <c r="AB9" s="3">
        <f t="shared" si="9"/>
        <v>3188.3293303487999</v>
      </c>
      <c r="AC9" s="16">
        <f t="shared" si="10"/>
        <v>8565.5308362624</v>
      </c>
      <c r="AD9" s="16">
        <f t="shared" si="11"/>
        <v>12337.118386560001</v>
      </c>
      <c r="AE9" s="3">
        <f t="shared" si="13"/>
        <v>78203.515869388808</v>
      </c>
    </row>
    <row r="10" spans="1:31" x14ac:dyDescent="0.25">
      <c r="B10" t="s">
        <v>17</v>
      </c>
      <c r="D10" s="8">
        <v>150754.106</v>
      </c>
      <c r="E10" s="8">
        <v>133921.06299999999</v>
      </c>
      <c r="F10" s="8">
        <v>104140.71400000001</v>
      </c>
      <c r="G10" s="8">
        <v>75930.821020000003</v>
      </c>
      <c r="H10" s="8">
        <v>20782.386999999999</v>
      </c>
      <c r="I10" s="8">
        <v>9477.1569999999992</v>
      </c>
      <c r="J10" s="8">
        <v>14447.707</v>
      </c>
      <c r="K10" s="8">
        <v>29186.904999999999</v>
      </c>
      <c r="L10" s="8">
        <v>25314.97</v>
      </c>
      <c r="M10" s="8">
        <v>8615.357</v>
      </c>
      <c r="N10" s="8">
        <v>72137.17</v>
      </c>
      <c r="O10" s="8">
        <v>188534.79500000001</v>
      </c>
      <c r="P10" s="2">
        <f t="shared" si="12"/>
        <v>833243.15202000004</v>
      </c>
      <c r="Q10" s="11"/>
      <c r="R10" s="151">
        <v>7.9619999999999996E-2</v>
      </c>
      <c r="S10" s="3">
        <f t="shared" si="0"/>
        <v>12003.041919719999</v>
      </c>
      <c r="T10" s="3">
        <f t="shared" si="1"/>
        <v>10662.795036059999</v>
      </c>
      <c r="U10" s="3">
        <f t="shared" si="2"/>
        <v>8291.6836486800003</v>
      </c>
      <c r="V10" s="3">
        <f t="shared" si="3"/>
        <v>6045.6119696123997</v>
      </c>
      <c r="W10" s="3">
        <f t="shared" si="4"/>
        <v>1654.6936529399998</v>
      </c>
      <c r="X10" s="3">
        <f t="shared" si="5"/>
        <v>754.57124033999992</v>
      </c>
      <c r="Y10" s="3">
        <f t="shared" si="6"/>
        <v>1150.32643134</v>
      </c>
      <c r="Z10" s="3">
        <f t="shared" si="7"/>
        <v>2323.8613760999997</v>
      </c>
      <c r="AA10" s="3">
        <f t="shared" si="8"/>
        <v>2015.5779113999999</v>
      </c>
      <c r="AB10" s="3">
        <f t="shared" si="9"/>
        <v>685.95472433999998</v>
      </c>
      <c r="AC10" s="16">
        <f t="shared" si="10"/>
        <v>5743.5614753999998</v>
      </c>
      <c r="AD10" s="16">
        <f t="shared" si="11"/>
        <v>15011.140377900001</v>
      </c>
      <c r="AE10" s="3">
        <f t="shared" si="13"/>
        <v>66342.819763832405</v>
      </c>
    </row>
    <row r="11" spans="1:31" x14ac:dyDescent="0.25">
      <c r="A11" t="s">
        <v>36</v>
      </c>
      <c r="B11" t="s">
        <v>14</v>
      </c>
      <c r="D11" s="8">
        <v>23200</v>
      </c>
      <c r="E11" s="8">
        <v>22931</v>
      </c>
      <c r="F11" s="8">
        <v>23125</v>
      </c>
      <c r="G11" s="8">
        <v>23136</v>
      </c>
      <c r="H11" s="8">
        <v>22928</v>
      </c>
      <c r="I11" s="8">
        <v>23553</v>
      </c>
      <c r="J11" s="8">
        <v>23264</v>
      </c>
      <c r="K11" s="8">
        <v>23110</v>
      </c>
      <c r="L11" s="8">
        <v>23358</v>
      </c>
      <c r="M11" s="8">
        <v>23375</v>
      </c>
      <c r="N11" s="8">
        <v>23357</v>
      </c>
      <c r="O11" s="8">
        <v>23486</v>
      </c>
      <c r="P11" s="2">
        <f t="shared" si="12"/>
        <v>278823</v>
      </c>
      <c r="Q11" s="11">
        <v>1436</v>
      </c>
      <c r="R11" s="150">
        <v>20</v>
      </c>
      <c r="S11" s="3">
        <f t="shared" si="0"/>
        <v>464000</v>
      </c>
      <c r="T11" s="3">
        <f t="shared" si="1"/>
        <v>458620</v>
      </c>
      <c r="U11" s="3">
        <f t="shared" si="2"/>
        <v>462500</v>
      </c>
      <c r="V11" s="3">
        <f t="shared" si="3"/>
        <v>462720</v>
      </c>
      <c r="W11" s="3">
        <f t="shared" si="4"/>
        <v>458560</v>
      </c>
      <c r="X11" s="3">
        <f t="shared" si="5"/>
        <v>471060</v>
      </c>
      <c r="Y11" s="3">
        <f t="shared" si="6"/>
        <v>465280</v>
      </c>
      <c r="Z11" s="3">
        <f t="shared" si="7"/>
        <v>462200</v>
      </c>
      <c r="AA11" s="3">
        <f t="shared" si="8"/>
        <v>467160</v>
      </c>
      <c r="AB11" s="3">
        <f t="shared" si="9"/>
        <v>467500</v>
      </c>
      <c r="AC11" s="16">
        <f t="shared" si="10"/>
        <v>467140</v>
      </c>
      <c r="AD11" s="16">
        <f t="shared" si="11"/>
        <v>469720</v>
      </c>
      <c r="AE11" s="3">
        <f t="shared" si="13"/>
        <v>5576460</v>
      </c>
    </row>
    <row r="12" spans="1:31" x14ac:dyDescent="0.25">
      <c r="B12" t="s">
        <v>15</v>
      </c>
      <c r="D12" s="8">
        <v>35011669.46305</v>
      </c>
      <c r="E12" s="8">
        <v>33879583.586000003</v>
      </c>
      <c r="F12" s="8">
        <v>32807623.388379999</v>
      </c>
      <c r="G12" s="8">
        <v>29471106.72958</v>
      </c>
      <c r="H12" s="8">
        <v>26264358.799090002</v>
      </c>
      <c r="I12" s="8">
        <v>27467288.756299999</v>
      </c>
      <c r="J12" s="8">
        <v>28594996.194680002</v>
      </c>
      <c r="K12" s="8">
        <v>30759359.218339998</v>
      </c>
      <c r="L12" s="8">
        <v>30528415.559700001</v>
      </c>
      <c r="M12" s="8">
        <v>28407452.515000001</v>
      </c>
      <c r="N12" s="8">
        <v>30951067.243280001</v>
      </c>
      <c r="O12" s="8">
        <v>34532669.851290002</v>
      </c>
      <c r="P12" s="2">
        <f t="shared" si="12"/>
        <v>368675591.30469</v>
      </c>
      <c r="Q12" s="11">
        <f>IF(P12-P11*Q11&gt;0,P12-P11*Q11,0)</f>
        <v>0</v>
      </c>
      <c r="R12" s="151">
        <v>0.12336</v>
      </c>
      <c r="S12" s="3">
        <f t="shared" si="0"/>
        <v>4319039.5449618483</v>
      </c>
      <c r="T12" s="3">
        <f t="shared" si="1"/>
        <v>4179385.4311689604</v>
      </c>
      <c r="U12" s="3">
        <f t="shared" si="2"/>
        <v>4047148.4211905566</v>
      </c>
      <c r="V12" s="3">
        <f t="shared" si="3"/>
        <v>3635555.7261609887</v>
      </c>
      <c r="W12" s="3">
        <f t="shared" si="4"/>
        <v>3239971.3014557427</v>
      </c>
      <c r="X12" s="3">
        <f t="shared" si="5"/>
        <v>3388364.7409771676</v>
      </c>
      <c r="Y12" s="3">
        <f t="shared" si="6"/>
        <v>3527478.730575725</v>
      </c>
      <c r="Z12" s="3">
        <f t="shared" si="7"/>
        <v>3794474.5531744221</v>
      </c>
      <c r="AA12" s="3">
        <f t="shared" si="8"/>
        <v>3765985.3434445919</v>
      </c>
      <c r="AB12" s="3">
        <f t="shared" si="9"/>
        <v>3504343.3422504002</v>
      </c>
      <c r="AC12" s="16">
        <f t="shared" si="10"/>
        <v>3818123.655131021</v>
      </c>
      <c r="AD12" s="16">
        <f t="shared" si="11"/>
        <v>4259950.1528551346</v>
      </c>
      <c r="AE12" s="3">
        <f t="shared" si="13"/>
        <v>45479820.94334656</v>
      </c>
    </row>
    <row r="13" spans="1:31" x14ac:dyDescent="0.25">
      <c r="B13" t="s">
        <v>16</v>
      </c>
      <c r="D13" s="8">
        <v>16252242.98095</v>
      </c>
      <c r="E13" s="8">
        <v>15769626.271</v>
      </c>
      <c r="F13" s="8">
        <v>14379264.162620001</v>
      </c>
      <c r="G13" s="8">
        <v>11000267.204080001</v>
      </c>
      <c r="H13" s="8">
        <v>8984110.8363700006</v>
      </c>
      <c r="I13" s="8">
        <v>10798215.223689999</v>
      </c>
      <c r="J13" s="8">
        <v>13162511.21332</v>
      </c>
      <c r="K13" s="8">
        <v>16511541.08467</v>
      </c>
      <c r="L13" s="8">
        <v>16355206.3773</v>
      </c>
      <c r="M13" s="8">
        <v>12057875.965</v>
      </c>
      <c r="N13" s="8">
        <v>13548250.36772</v>
      </c>
      <c r="O13" s="8">
        <v>18331569.39971</v>
      </c>
      <c r="P13" s="2">
        <f t="shared" si="12"/>
        <v>167150681.08643001</v>
      </c>
      <c r="Q13" s="11">
        <f>IF(P12-P11*Q11&lt;0,P13+P12-P11*Q11,P13)</f>
        <v>135436444.39112002</v>
      </c>
      <c r="R13" s="151">
        <v>9.2380000000000004E-2</v>
      </c>
      <c r="S13" s="3">
        <f t="shared" si="0"/>
        <v>1501382.2065801611</v>
      </c>
      <c r="T13" s="3">
        <f t="shared" si="1"/>
        <v>1456798.07491498</v>
      </c>
      <c r="U13" s="3">
        <f t="shared" si="2"/>
        <v>1328356.4233428356</v>
      </c>
      <c r="V13" s="3">
        <f t="shared" si="3"/>
        <v>1016204.6843129105</v>
      </c>
      <c r="W13" s="3">
        <f t="shared" si="4"/>
        <v>829952.15906386066</v>
      </c>
      <c r="X13" s="3">
        <f t="shared" si="5"/>
        <v>997539.12236448214</v>
      </c>
      <c r="Y13" s="3">
        <f t="shared" si="6"/>
        <v>1215952.7858865017</v>
      </c>
      <c r="Z13" s="3">
        <f t="shared" si="7"/>
        <v>1525336.1654018147</v>
      </c>
      <c r="AA13" s="3">
        <f t="shared" si="8"/>
        <v>1510893.9651349741</v>
      </c>
      <c r="AB13" s="3">
        <f t="shared" si="9"/>
        <v>1113906.5816466999</v>
      </c>
      <c r="AC13" s="16">
        <f t="shared" si="10"/>
        <v>1251587.3689699736</v>
      </c>
      <c r="AD13" s="16">
        <f t="shared" si="11"/>
        <v>1693470.3811452098</v>
      </c>
      <c r="AE13" s="3">
        <f t="shared" si="13"/>
        <v>15441379.918764403</v>
      </c>
    </row>
    <row r="14" spans="1:31" x14ac:dyDescent="0.25">
      <c r="B14" t="s">
        <v>19</v>
      </c>
      <c r="D14" s="2">
        <f>D107/D109</f>
        <v>31054.12</v>
      </c>
      <c r="E14" s="2">
        <f t="shared" ref="E14:O14" si="14">E107/E109</f>
        <v>33113.541538461533</v>
      </c>
      <c r="F14" s="2">
        <f t="shared" si="14"/>
        <v>33252.560000000005</v>
      </c>
      <c r="G14" s="2">
        <f t="shared" si="14"/>
        <v>27700.365714285716</v>
      </c>
      <c r="H14" s="2">
        <f t="shared" si="14"/>
        <v>24375.062857142857</v>
      </c>
      <c r="I14" s="2">
        <f t="shared" si="14"/>
        <v>29377.170000000002</v>
      </c>
      <c r="J14" s="2">
        <f t="shared" si="14"/>
        <v>33884.674285714289</v>
      </c>
      <c r="K14" s="2">
        <f t="shared" si="14"/>
        <v>40200.020000000004</v>
      </c>
      <c r="L14" s="2">
        <f t="shared" si="14"/>
        <v>41434.698571428577</v>
      </c>
      <c r="M14" s="2">
        <f t="shared" si="14"/>
        <v>35410.044285714284</v>
      </c>
      <c r="N14" s="2">
        <f t="shared" si="14"/>
        <v>37734.951428571425</v>
      </c>
      <c r="O14" s="2">
        <f t="shared" si="14"/>
        <v>37018.927142857145</v>
      </c>
      <c r="P14" s="2">
        <f t="shared" si="12"/>
        <v>404556.1358241759</v>
      </c>
      <c r="Q14" s="11"/>
      <c r="R14" s="150">
        <v>7</v>
      </c>
      <c r="S14" s="3">
        <f t="shared" si="0"/>
        <v>217378.84</v>
      </c>
      <c r="T14" s="3">
        <f t="shared" si="1"/>
        <v>231794.79076923075</v>
      </c>
      <c r="U14" s="3">
        <f t="shared" si="2"/>
        <v>232767.92000000004</v>
      </c>
      <c r="V14" s="3">
        <f t="shared" si="3"/>
        <v>193902.56</v>
      </c>
      <c r="W14" s="3">
        <f t="shared" si="4"/>
        <v>170625.44</v>
      </c>
      <c r="X14" s="3">
        <f t="shared" si="5"/>
        <v>205640.19</v>
      </c>
      <c r="Y14" s="3">
        <f t="shared" si="6"/>
        <v>237192.72000000003</v>
      </c>
      <c r="Z14" s="3">
        <f t="shared" si="7"/>
        <v>281400.14</v>
      </c>
      <c r="AA14" s="3">
        <f t="shared" si="8"/>
        <v>290042.89</v>
      </c>
      <c r="AB14" s="3">
        <f t="shared" si="9"/>
        <v>247870.31</v>
      </c>
      <c r="AC14" s="3">
        <f t="shared" si="10"/>
        <v>264144.65999999997</v>
      </c>
      <c r="AD14" s="3">
        <f t="shared" si="11"/>
        <v>259132.49000000002</v>
      </c>
      <c r="AE14" s="3">
        <f t="shared" si="13"/>
        <v>2831892.9507692312</v>
      </c>
    </row>
    <row r="15" spans="1:31" x14ac:dyDescent="0.25">
      <c r="B15" t="s">
        <v>20</v>
      </c>
      <c r="D15" s="2">
        <f>D108/D110</f>
        <v>0</v>
      </c>
      <c r="E15" s="2">
        <f t="shared" ref="E15:O15" si="15">E108/E110</f>
        <v>0</v>
      </c>
      <c r="F15" s="2">
        <f t="shared" si="15"/>
        <v>0</v>
      </c>
      <c r="G15" s="2">
        <f t="shared" si="15"/>
        <v>0</v>
      </c>
      <c r="H15" s="2">
        <f t="shared" si="15"/>
        <v>0</v>
      </c>
      <c r="I15" s="2">
        <f t="shared" si="15"/>
        <v>0</v>
      </c>
      <c r="J15" s="2">
        <f t="shared" si="15"/>
        <v>0</v>
      </c>
      <c r="K15" s="2">
        <f t="shared" si="15"/>
        <v>0</v>
      </c>
      <c r="L15" s="2">
        <f t="shared" si="15"/>
        <v>0</v>
      </c>
      <c r="M15" s="2">
        <f t="shared" si="15"/>
        <v>0</v>
      </c>
      <c r="N15" s="2">
        <f t="shared" si="15"/>
        <v>0</v>
      </c>
      <c r="O15" s="2">
        <f t="shared" si="15"/>
        <v>0</v>
      </c>
      <c r="P15" s="2">
        <f t="shared" si="12"/>
        <v>0</v>
      </c>
      <c r="Q15" s="11"/>
      <c r="R15" s="150">
        <v>0.5</v>
      </c>
      <c r="S15" s="3">
        <f t="shared" si="0"/>
        <v>0</v>
      </c>
      <c r="T15" s="3">
        <f t="shared" si="1"/>
        <v>0</v>
      </c>
      <c r="U15" s="3">
        <f t="shared" si="2"/>
        <v>0</v>
      </c>
      <c r="V15" s="3">
        <f t="shared" si="3"/>
        <v>0</v>
      </c>
      <c r="W15" s="3">
        <f t="shared" si="4"/>
        <v>0</v>
      </c>
      <c r="X15" s="3">
        <f t="shared" si="5"/>
        <v>0</v>
      </c>
      <c r="Y15" s="3">
        <f t="shared" si="6"/>
        <v>0</v>
      </c>
      <c r="Z15" s="3">
        <f t="shared" si="7"/>
        <v>0</v>
      </c>
      <c r="AA15" s="3">
        <f t="shared" si="8"/>
        <v>0</v>
      </c>
      <c r="AB15" s="3">
        <f t="shared" si="9"/>
        <v>0</v>
      </c>
      <c r="AC15" s="3">
        <f t="shared" si="10"/>
        <v>0</v>
      </c>
      <c r="AD15" s="3">
        <f t="shared" si="11"/>
        <v>0</v>
      </c>
      <c r="AE15" s="3">
        <f t="shared" si="13"/>
        <v>0</v>
      </c>
    </row>
    <row r="16" spans="1:31" x14ac:dyDescent="0.25">
      <c r="A16" t="s">
        <v>37</v>
      </c>
      <c r="B16" t="s">
        <v>14</v>
      </c>
      <c r="D16" s="8">
        <v>9805</v>
      </c>
      <c r="E16" s="8">
        <v>9803</v>
      </c>
      <c r="F16" s="8">
        <v>9955</v>
      </c>
      <c r="G16" s="8">
        <v>9889</v>
      </c>
      <c r="H16" s="8">
        <v>9853</v>
      </c>
      <c r="I16" s="8">
        <v>9957</v>
      </c>
      <c r="J16" s="8">
        <v>9984</v>
      </c>
      <c r="K16" s="8">
        <v>9946</v>
      </c>
      <c r="L16" s="8">
        <v>9966</v>
      </c>
      <c r="M16" s="8">
        <v>10052</v>
      </c>
      <c r="N16" s="8">
        <v>10013</v>
      </c>
      <c r="O16" s="8">
        <v>10078</v>
      </c>
      <c r="P16" s="2">
        <f t="shared" si="12"/>
        <v>119301</v>
      </c>
      <c r="Q16" s="11"/>
      <c r="R16" s="150">
        <v>20</v>
      </c>
      <c r="S16" s="3">
        <f t="shared" ref="S16:AD18" si="16">$R16*D16</f>
        <v>196100</v>
      </c>
      <c r="T16" s="3">
        <f t="shared" si="16"/>
        <v>196060</v>
      </c>
      <c r="U16" s="3">
        <f t="shared" si="16"/>
        <v>199100</v>
      </c>
      <c r="V16" s="3">
        <f t="shared" si="16"/>
        <v>197780</v>
      </c>
      <c r="W16" s="3">
        <f t="shared" si="16"/>
        <v>197060</v>
      </c>
      <c r="X16" s="3">
        <f t="shared" si="16"/>
        <v>199140</v>
      </c>
      <c r="Y16" s="3">
        <f t="shared" si="16"/>
        <v>199680</v>
      </c>
      <c r="Z16" s="3">
        <f t="shared" si="16"/>
        <v>198920</v>
      </c>
      <c r="AA16" s="3">
        <f t="shared" si="16"/>
        <v>199320</v>
      </c>
      <c r="AB16" s="3">
        <f t="shared" si="16"/>
        <v>201040</v>
      </c>
      <c r="AC16" s="16">
        <f t="shared" si="16"/>
        <v>200260</v>
      </c>
      <c r="AD16" s="16">
        <f t="shared" si="16"/>
        <v>201560</v>
      </c>
      <c r="AE16" s="3">
        <f t="shared" si="13"/>
        <v>2386020</v>
      </c>
    </row>
    <row r="17" spans="1:31" x14ac:dyDescent="0.25">
      <c r="B17" t="s">
        <v>15</v>
      </c>
      <c r="D17" s="8">
        <v>5839422.1786700003</v>
      </c>
      <c r="E17" s="8">
        <v>5487420.0436699996</v>
      </c>
      <c r="F17" s="8">
        <v>5199659.3210000005</v>
      </c>
      <c r="G17" s="8">
        <v>4547995.4742900003</v>
      </c>
      <c r="H17" s="8">
        <v>3716503.0850300002</v>
      </c>
      <c r="I17" s="8">
        <v>3509427.4879999999</v>
      </c>
      <c r="J17" s="8">
        <v>3410623.89267</v>
      </c>
      <c r="K17" s="8">
        <v>3599448.2069999999</v>
      </c>
      <c r="L17" s="8">
        <v>3613960.4079999998</v>
      </c>
      <c r="M17" s="8">
        <v>3479792.9906700002</v>
      </c>
      <c r="N17" s="8">
        <v>4624301.1873300001</v>
      </c>
      <c r="O17" s="8">
        <v>5992089.3289999999</v>
      </c>
      <c r="P17" s="2">
        <f t="shared" si="12"/>
        <v>53020643.605330005</v>
      </c>
      <c r="Q17" s="11"/>
      <c r="R17" s="151">
        <v>0.1195</v>
      </c>
      <c r="S17" s="3">
        <f t="shared" si="16"/>
        <v>697810.95035106502</v>
      </c>
      <c r="T17" s="3">
        <f t="shared" si="16"/>
        <v>655746.69521856494</v>
      </c>
      <c r="U17" s="3">
        <f t="shared" si="16"/>
        <v>621359.28885950008</v>
      </c>
      <c r="V17" s="3">
        <f t="shared" si="16"/>
        <v>543485.45917765505</v>
      </c>
      <c r="W17" s="3">
        <f t="shared" si="16"/>
        <v>444122.11866108503</v>
      </c>
      <c r="X17" s="3">
        <f t="shared" si="16"/>
        <v>419376.58481599996</v>
      </c>
      <c r="Y17" s="3">
        <f t="shared" si="16"/>
        <v>407569.555174065</v>
      </c>
      <c r="Z17" s="3">
        <f t="shared" si="16"/>
        <v>430134.06073649996</v>
      </c>
      <c r="AA17" s="3">
        <f t="shared" si="16"/>
        <v>431868.26875599998</v>
      </c>
      <c r="AB17" s="3">
        <f t="shared" si="16"/>
        <v>415835.26238506503</v>
      </c>
      <c r="AC17" s="16">
        <f t="shared" si="16"/>
        <v>552603.99188593496</v>
      </c>
      <c r="AD17" s="16">
        <f t="shared" si="16"/>
        <v>716054.67481549992</v>
      </c>
      <c r="AE17" s="3">
        <f t="shared" si="13"/>
        <v>6335966.910836935</v>
      </c>
    </row>
    <row r="18" spans="1:31" x14ac:dyDescent="0.25">
      <c r="B18" t="s">
        <v>16</v>
      </c>
      <c r="D18" s="8">
        <v>871090.24132999999</v>
      </c>
      <c r="E18" s="8">
        <v>792228.38233000005</v>
      </c>
      <c r="F18" s="8">
        <v>655327.38500000001</v>
      </c>
      <c r="G18" s="8">
        <v>431768.47103000002</v>
      </c>
      <c r="H18" s="8">
        <v>310023.71100000001</v>
      </c>
      <c r="I18" s="8">
        <v>299032.99300000002</v>
      </c>
      <c r="J18" s="8">
        <v>335033.70633000002</v>
      </c>
      <c r="K18" s="8">
        <v>446756.87900000002</v>
      </c>
      <c r="L18" s="8">
        <v>434354.65600000002</v>
      </c>
      <c r="M18" s="8">
        <v>326609.65633000003</v>
      </c>
      <c r="N18" s="8">
        <v>475936.10767</v>
      </c>
      <c r="O18" s="8">
        <v>778597.53899999999</v>
      </c>
      <c r="P18" s="2">
        <f t="shared" si="12"/>
        <v>6156759.7280200003</v>
      </c>
      <c r="Q18" s="11"/>
      <c r="R18" s="151">
        <v>8.8520000000000001E-2</v>
      </c>
      <c r="S18" s="3">
        <f t="shared" si="16"/>
        <v>77108.908162531603</v>
      </c>
      <c r="T18" s="3">
        <f t="shared" si="16"/>
        <v>70128.056403851602</v>
      </c>
      <c r="U18" s="3">
        <f t="shared" si="16"/>
        <v>58009.5801202</v>
      </c>
      <c r="V18" s="3">
        <f t="shared" si="16"/>
        <v>38220.145055575602</v>
      </c>
      <c r="W18" s="3">
        <f t="shared" si="16"/>
        <v>27443.29889772</v>
      </c>
      <c r="X18" s="3">
        <f t="shared" si="16"/>
        <v>26470.400540360002</v>
      </c>
      <c r="Y18" s="3">
        <f t="shared" si="16"/>
        <v>29657.183684331601</v>
      </c>
      <c r="Z18" s="3">
        <f t="shared" si="16"/>
        <v>39546.918929079999</v>
      </c>
      <c r="AA18" s="3">
        <f t="shared" si="16"/>
        <v>38449.074149120002</v>
      </c>
      <c r="AB18" s="3">
        <f t="shared" si="16"/>
        <v>28911.486778331604</v>
      </c>
      <c r="AC18" s="16">
        <f t="shared" si="16"/>
        <v>42129.864250948398</v>
      </c>
      <c r="AD18" s="16">
        <f t="shared" si="16"/>
        <v>68921.454152279999</v>
      </c>
      <c r="AE18" s="3">
        <f t="shared" si="13"/>
        <v>544996.37112433044</v>
      </c>
    </row>
    <row r="19" spans="1:31" x14ac:dyDescent="0.25">
      <c r="B19" t="s">
        <v>19</v>
      </c>
      <c r="D19" s="2">
        <f>D112/D114</f>
        <v>1498.5876923076924</v>
      </c>
      <c r="E19" s="2">
        <f t="shared" ref="E19:O19" si="17">E112/E114</f>
        <v>1538.1107692307692</v>
      </c>
      <c r="F19" s="2">
        <f t="shared" si="17"/>
        <v>1438.6569230769232</v>
      </c>
      <c r="G19" s="2">
        <f t="shared" si="17"/>
        <v>1020.4599999999999</v>
      </c>
      <c r="H19" s="2">
        <f t="shared" si="17"/>
        <v>811.05384615384617</v>
      </c>
      <c r="I19" s="2">
        <f t="shared" si="17"/>
        <v>885.49692307692305</v>
      </c>
      <c r="J19" s="2">
        <f t="shared" si="17"/>
        <v>919.40000000000009</v>
      </c>
      <c r="K19" s="2">
        <f t="shared" si="17"/>
        <v>986.97538461538466</v>
      </c>
      <c r="L19" s="2">
        <f t="shared" si="17"/>
        <v>963.77846153846156</v>
      </c>
      <c r="M19" s="2">
        <f t="shared" si="17"/>
        <v>1037.5615384615385</v>
      </c>
      <c r="N19" s="2">
        <f t="shared" si="17"/>
        <v>1328.8307692307692</v>
      </c>
      <c r="O19" s="2">
        <f t="shared" si="17"/>
        <v>1600.9523076923078</v>
      </c>
      <c r="P19" s="2">
        <f t="shared" si="12"/>
        <v>14029.864615384617</v>
      </c>
      <c r="Q19" s="11"/>
      <c r="R19" s="150">
        <v>7</v>
      </c>
      <c r="S19" s="3">
        <f t="shared" ref="S19:S20" si="18">$R19*D19</f>
        <v>10490.113846153847</v>
      </c>
      <c r="T19" s="3">
        <f t="shared" ref="T19:T20" si="19">$R19*E19</f>
        <v>10766.775384615385</v>
      </c>
      <c r="U19" s="3">
        <f t="shared" ref="U19:U20" si="20">$R19*F19</f>
        <v>10070.598461538462</v>
      </c>
      <c r="V19" s="3">
        <f t="shared" ref="V19:V20" si="21">$R19*G19</f>
        <v>7143.2199999999993</v>
      </c>
      <c r="W19" s="3">
        <f t="shared" ref="W19:W20" si="22">$R19*H19</f>
        <v>5677.376923076923</v>
      </c>
      <c r="X19" s="3">
        <f t="shared" ref="X19:X20" si="23">$R19*I19</f>
        <v>6198.4784615384615</v>
      </c>
      <c r="Y19" s="3">
        <f t="shared" ref="Y19:Y20" si="24">$R19*J19</f>
        <v>6435.8000000000011</v>
      </c>
      <c r="Z19" s="3">
        <f t="shared" ref="Z19:Z20" si="25">$R19*K19</f>
        <v>6908.8276923076928</v>
      </c>
      <c r="AA19" s="3">
        <f t="shared" ref="AA19:AA20" si="26">$R19*L19</f>
        <v>6746.4492307692308</v>
      </c>
      <c r="AB19" s="3">
        <f t="shared" ref="AB19:AB20" si="27">$R19*M19</f>
        <v>7262.9307692307693</v>
      </c>
      <c r="AC19" s="16">
        <f t="shared" ref="AC19:AC20" si="28">$R19*N19</f>
        <v>9301.8153846153837</v>
      </c>
      <c r="AD19" s="16">
        <f t="shared" ref="AD19:AD20" si="29">$R19*O19</f>
        <v>11206.666153846156</v>
      </c>
      <c r="AE19" s="3">
        <f t="shared" si="13"/>
        <v>98209.052307692298</v>
      </c>
    </row>
    <row r="20" spans="1:31" x14ac:dyDescent="0.25">
      <c r="B20" t="s">
        <v>20</v>
      </c>
      <c r="D20" s="2">
        <f>D113/D115</f>
        <v>0</v>
      </c>
      <c r="E20" s="2">
        <f t="shared" ref="E20:O20" si="30">E113/E115</f>
        <v>0</v>
      </c>
      <c r="F20" s="2">
        <f t="shared" si="30"/>
        <v>0</v>
      </c>
      <c r="G20" s="2">
        <f t="shared" si="30"/>
        <v>0</v>
      </c>
      <c r="H20" s="2">
        <f t="shared" si="30"/>
        <v>0</v>
      </c>
      <c r="I20" s="2">
        <f t="shared" si="30"/>
        <v>0</v>
      </c>
      <c r="J20" s="2">
        <f t="shared" si="30"/>
        <v>0</v>
      </c>
      <c r="K20" s="2">
        <f t="shared" si="30"/>
        <v>0</v>
      </c>
      <c r="L20" s="2">
        <f t="shared" si="30"/>
        <v>0</v>
      </c>
      <c r="M20" s="2">
        <f t="shared" si="30"/>
        <v>0</v>
      </c>
      <c r="N20" s="2">
        <f t="shared" si="30"/>
        <v>0</v>
      </c>
      <c r="O20" s="2">
        <f t="shared" si="30"/>
        <v>0</v>
      </c>
      <c r="P20" s="2">
        <f t="shared" si="12"/>
        <v>0</v>
      </c>
      <c r="Q20" s="11"/>
      <c r="R20" s="150">
        <v>0.5</v>
      </c>
      <c r="S20" s="3">
        <f t="shared" si="18"/>
        <v>0</v>
      </c>
      <c r="T20" s="3">
        <f t="shared" si="19"/>
        <v>0</v>
      </c>
      <c r="U20" s="3">
        <f t="shared" si="20"/>
        <v>0</v>
      </c>
      <c r="V20" s="3">
        <f t="shared" si="21"/>
        <v>0</v>
      </c>
      <c r="W20" s="3">
        <f t="shared" si="22"/>
        <v>0</v>
      </c>
      <c r="X20" s="3">
        <f t="shared" si="23"/>
        <v>0</v>
      </c>
      <c r="Y20" s="3">
        <f t="shared" si="24"/>
        <v>0</v>
      </c>
      <c r="Z20" s="3">
        <f t="shared" si="25"/>
        <v>0</v>
      </c>
      <c r="AA20" s="3">
        <f t="shared" si="26"/>
        <v>0</v>
      </c>
      <c r="AB20" s="3">
        <f t="shared" si="27"/>
        <v>0</v>
      </c>
      <c r="AC20" s="16">
        <f t="shared" si="28"/>
        <v>0</v>
      </c>
      <c r="AD20" s="16">
        <f t="shared" si="29"/>
        <v>0</v>
      </c>
      <c r="AE20" s="3">
        <f t="shared" si="13"/>
        <v>0</v>
      </c>
    </row>
    <row r="21" spans="1:31" x14ac:dyDescent="0.25">
      <c r="A21" t="s">
        <v>38</v>
      </c>
      <c r="B21" t="s">
        <v>14</v>
      </c>
      <c r="D21" s="8">
        <v>1926</v>
      </c>
      <c r="E21" s="8">
        <v>1855</v>
      </c>
      <c r="F21" s="8">
        <v>1910</v>
      </c>
      <c r="G21" s="8">
        <v>1873</v>
      </c>
      <c r="H21" s="8">
        <v>1790</v>
      </c>
      <c r="I21" s="8">
        <v>1863</v>
      </c>
      <c r="J21" s="8">
        <v>1828</v>
      </c>
      <c r="K21" s="8">
        <v>1811</v>
      </c>
      <c r="L21" s="8">
        <v>1802</v>
      </c>
      <c r="M21" s="8">
        <v>1831</v>
      </c>
      <c r="N21" s="8">
        <v>1757</v>
      </c>
      <c r="O21" s="8">
        <v>1805</v>
      </c>
      <c r="P21" s="2">
        <f t="shared" si="12"/>
        <v>22051</v>
      </c>
      <c r="Q21" s="11">
        <v>62686</v>
      </c>
      <c r="R21" s="150">
        <v>550</v>
      </c>
      <c r="S21" s="3">
        <f t="shared" ref="S21:AD23" si="31">$R21*D21</f>
        <v>1059300</v>
      </c>
      <c r="T21" s="3">
        <f t="shared" si="31"/>
        <v>1020250</v>
      </c>
      <c r="U21" s="3">
        <f t="shared" si="31"/>
        <v>1050500</v>
      </c>
      <c r="V21" s="3">
        <f t="shared" si="31"/>
        <v>1030150</v>
      </c>
      <c r="W21" s="3">
        <f t="shared" si="31"/>
        <v>984500</v>
      </c>
      <c r="X21" s="3">
        <f t="shared" si="31"/>
        <v>1024650</v>
      </c>
      <c r="Y21" s="3">
        <f t="shared" si="31"/>
        <v>1005400</v>
      </c>
      <c r="Z21" s="3">
        <f t="shared" si="31"/>
        <v>996050</v>
      </c>
      <c r="AA21" s="3">
        <f t="shared" si="31"/>
        <v>991100</v>
      </c>
      <c r="AB21" s="3">
        <f t="shared" si="31"/>
        <v>1007050</v>
      </c>
      <c r="AC21" s="16">
        <f t="shared" si="31"/>
        <v>966350</v>
      </c>
      <c r="AD21" s="16">
        <f t="shared" si="31"/>
        <v>992750</v>
      </c>
      <c r="AE21" s="3">
        <f t="shared" si="13"/>
        <v>12128050</v>
      </c>
    </row>
    <row r="22" spans="1:31" x14ac:dyDescent="0.25">
      <c r="B22" t="s">
        <v>15</v>
      </c>
      <c r="D22" s="8">
        <v>104938409.80933</v>
      </c>
      <c r="E22" s="8">
        <v>97718426.436000004</v>
      </c>
      <c r="F22" s="8">
        <v>96891671.075000003</v>
      </c>
      <c r="G22" s="8">
        <v>87456515.885069996</v>
      </c>
      <c r="H22" s="8">
        <v>79901327.734999999</v>
      </c>
      <c r="I22" s="8">
        <v>86223077.899000004</v>
      </c>
      <c r="J22" s="8">
        <v>89982378.709000006</v>
      </c>
      <c r="K22" s="8">
        <v>95522782.626000002</v>
      </c>
      <c r="L22" s="8">
        <v>94445327.436000004</v>
      </c>
      <c r="M22" s="8">
        <v>91409929.835999995</v>
      </c>
      <c r="N22" s="8">
        <v>89039288.348000005</v>
      </c>
      <c r="O22" s="8">
        <v>98181963.601999998</v>
      </c>
      <c r="P22" s="2">
        <f t="shared" si="12"/>
        <v>1111711099.3964</v>
      </c>
      <c r="Q22" s="11">
        <f>IF(P22-P21*Q21&gt;0,P22-P21*Q21,0)</f>
        <v>0</v>
      </c>
      <c r="R22" s="151">
        <v>8.022E-2</v>
      </c>
      <c r="S22" s="3">
        <f t="shared" si="31"/>
        <v>8418159.2349044532</v>
      </c>
      <c r="T22" s="3">
        <f t="shared" si="31"/>
        <v>7838972.1686959201</v>
      </c>
      <c r="U22" s="3">
        <f t="shared" si="31"/>
        <v>7772649.8536365004</v>
      </c>
      <c r="V22" s="3">
        <f t="shared" si="31"/>
        <v>7015761.7043003151</v>
      </c>
      <c r="W22" s="3">
        <f t="shared" si="31"/>
        <v>6409684.5109016998</v>
      </c>
      <c r="X22" s="3">
        <f t="shared" si="31"/>
        <v>6916815.3090577805</v>
      </c>
      <c r="Y22" s="3">
        <f t="shared" si="31"/>
        <v>7218386.4200359806</v>
      </c>
      <c r="Z22" s="3">
        <f t="shared" si="31"/>
        <v>7662837.6222577197</v>
      </c>
      <c r="AA22" s="3">
        <f t="shared" si="31"/>
        <v>7576404.1669159206</v>
      </c>
      <c r="AB22" s="3">
        <f t="shared" si="31"/>
        <v>7332904.57144392</v>
      </c>
      <c r="AC22" s="16">
        <f t="shared" si="31"/>
        <v>7142731.7112765601</v>
      </c>
      <c r="AD22" s="16">
        <f t="shared" si="31"/>
        <v>7876157.1201524399</v>
      </c>
      <c r="AE22" s="3">
        <f t="shared" si="13"/>
        <v>89181464.393579215</v>
      </c>
    </row>
    <row r="23" spans="1:31" x14ac:dyDescent="0.25">
      <c r="B23" t="s">
        <v>16</v>
      </c>
      <c r="D23" s="8">
        <v>12673542.396670001</v>
      </c>
      <c r="E23" s="8">
        <v>11518736.789999999</v>
      </c>
      <c r="F23" s="8">
        <v>10272810.779999999</v>
      </c>
      <c r="G23" s="8">
        <v>9855372.3500100002</v>
      </c>
      <c r="H23" s="8">
        <v>8860235.6500000004</v>
      </c>
      <c r="I23" s="8">
        <v>9459425.9000000004</v>
      </c>
      <c r="J23" s="8">
        <v>10858716.74</v>
      </c>
      <c r="K23" s="8">
        <v>12476585.92</v>
      </c>
      <c r="L23" s="8">
        <v>13405554.390000001</v>
      </c>
      <c r="M23" s="8">
        <v>10662526.08</v>
      </c>
      <c r="N23" s="8">
        <v>9618325.75</v>
      </c>
      <c r="O23" s="8">
        <v>10592258.869999999</v>
      </c>
      <c r="P23" s="2">
        <f t="shared" si="12"/>
        <v>130254091.61668</v>
      </c>
      <c r="Q23" s="11">
        <f>IF(P22-P21*Q21&lt;0,P23+P22-P21*Q21,P23)</f>
        <v>-140323794.98692012</v>
      </c>
      <c r="R23" s="151">
        <v>7.2289999999999993E-2</v>
      </c>
      <c r="S23" s="3">
        <f t="shared" si="31"/>
        <v>916170.37985527422</v>
      </c>
      <c r="T23" s="3">
        <f t="shared" si="31"/>
        <v>832689.48254909983</v>
      </c>
      <c r="U23" s="3">
        <f t="shared" si="31"/>
        <v>742621.49128619989</v>
      </c>
      <c r="V23" s="3">
        <f t="shared" si="31"/>
        <v>712444.86718222289</v>
      </c>
      <c r="W23" s="3">
        <f t="shared" si="31"/>
        <v>640506.43513849995</v>
      </c>
      <c r="X23" s="3">
        <f t="shared" si="31"/>
        <v>683821.89831099997</v>
      </c>
      <c r="Y23" s="3">
        <f t="shared" si="31"/>
        <v>784976.63313459989</v>
      </c>
      <c r="Z23" s="3">
        <f t="shared" si="31"/>
        <v>901932.39615679986</v>
      </c>
      <c r="AA23" s="3">
        <f t="shared" si="31"/>
        <v>969087.52685309993</v>
      </c>
      <c r="AB23" s="3">
        <f t="shared" si="31"/>
        <v>770794.01032319991</v>
      </c>
      <c r="AC23" s="16">
        <f t="shared" si="31"/>
        <v>695308.76846749999</v>
      </c>
      <c r="AD23" s="16">
        <f t="shared" si="31"/>
        <v>765714.39371229988</v>
      </c>
      <c r="AE23" s="3">
        <f t="shared" si="13"/>
        <v>9416068.2829697989</v>
      </c>
    </row>
    <row r="24" spans="1:31" x14ac:dyDescent="0.25">
      <c r="B24" t="s">
        <v>19</v>
      </c>
      <c r="D24" s="2">
        <f>D117/D120</f>
        <v>207792.17538461537</v>
      </c>
      <c r="E24" s="2">
        <f t="shared" ref="E24:O24" si="32">E117/E120</f>
        <v>200446.98923076922</v>
      </c>
      <c r="F24" s="2">
        <f t="shared" si="32"/>
        <v>197293.07692307694</v>
      </c>
      <c r="G24" s="2">
        <f t="shared" si="32"/>
        <v>182190.54857142858</v>
      </c>
      <c r="H24" s="2">
        <f t="shared" si="32"/>
        <v>172020.34428571427</v>
      </c>
      <c r="I24" s="2">
        <f t="shared" si="32"/>
        <v>192691.56857142856</v>
      </c>
      <c r="J24" s="2">
        <f t="shared" si="32"/>
        <v>205161.08857142858</v>
      </c>
      <c r="K24" s="2">
        <f t="shared" si="32"/>
        <v>224258.22571428571</v>
      </c>
      <c r="L24" s="2">
        <f t="shared" si="32"/>
        <v>220802.14571428573</v>
      </c>
      <c r="M24" s="2">
        <f t="shared" si="32"/>
        <v>223640.66999999998</v>
      </c>
      <c r="N24" s="2">
        <f t="shared" si="32"/>
        <v>195543.37714285712</v>
      </c>
      <c r="O24" s="2">
        <f t="shared" si="32"/>
        <v>189054.43857142859</v>
      </c>
      <c r="P24" s="2">
        <f t="shared" si="12"/>
        <v>2410894.6486813184</v>
      </c>
      <c r="Q24" s="2"/>
      <c r="R24" s="150">
        <v>7</v>
      </c>
      <c r="S24" s="3">
        <f t="shared" ref="S24:S26" si="33">$R24*D24</f>
        <v>1454545.2276923077</v>
      </c>
      <c r="T24" s="3">
        <f t="shared" ref="T24:T26" si="34">$R24*E24</f>
        <v>1403128.9246153845</v>
      </c>
      <c r="U24" s="3">
        <f t="shared" ref="U24:U26" si="35">$R24*F24</f>
        <v>1381051.5384615385</v>
      </c>
      <c r="V24" s="3">
        <f t="shared" ref="V24:V26" si="36">$R24*G24</f>
        <v>1275333.8400000001</v>
      </c>
      <c r="W24" s="3">
        <f t="shared" ref="W24:W26" si="37">$R24*H24</f>
        <v>1204142.4099999999</v>
      </c>
      <c r="X24" s="3">
        <f t="shared" ref="X24:X26" si="38">$R24*I24</f>
        <v>1348840.98</v>
      </c>
      <c r="Y24" s="3">
        <f t="shared" ref="Y24:Y26" si="39">$R24*J24</f>
        <v>1436127.62</v>
      </c>
      <c r="Z24" s="3">
        <f t="shared" ref="Z24:Z26" si="40">$R24*K24</f>
        <v>1569807.58</v>
      </c>
      <c r="AA24" s="3">
        <f t="shared" ref="AA24:AA26" si="41">$R24*L24</f>
        <v>1545615.02</v>
      </c>
      <c r="AB24" s="3">
        <f t="shared" ref="AB24:AB26" si="42">$R24*M24</f>
        <v>1565484.69</v>
      </c>
      <c r="AC24" s="16">
        <f t="shared" ref="AC24:AC26" si="43">$R24*N24</f>
        <v>1368803.64</v>
      </c>
      <c r="AD24" s="16">
        <f t="shared" ref="AD24:AD26" si="44">$R24*O24</f>
        <v>1323381.07</v>
      </c>
      <c r="AE24" s="3">
        <f t="shared" si="13"/>
        <v>16876262.540769231</v>
      </c>
    </row>
    <row r="25" spans="1:31" x14ac:dyDescent="0.25">
      <c r="B25" t="s">
        <v>20</v>
      </c>
      <c r="D25" s="2">
        <f t="shared" ref="D25:O26" si="45">D118/D121</f>
        <v>22048.3</v>
      </c>
      <c r="E25" s="2">
        <f t="shared" si="45"/>
        <v>20297.68</v>
      </c>
      <c r="F25" s="2">
        <f t="shared" si="45"/>
        <v>21589.78</v>
      </c>
      <c r="G25" s="2">
        <f t="shared" si="45"/>
        <v>22658.880000000001</v>
      </c>
      <c r="H25" s="2">
        <f t="shared" si="45"/>
        <v>26771.8</v>
      </c>
      <c r="I25" s="2">
        <f t="shared" si="45"/>
        <v>31124.52</v>
      </c>
      <c r="J25" s="2">
        <f t="shared" si="45"/>
        <v>31932.9</v>
      </c>
      <c r="K25" s="2">
        <f t="shared" si="45"/>
        <v>34044.74</v>
      </c>
      <c r="L25" s="2">
        <f t="shared" si="45"/>
        <v>32913.64</v>
      </c>
      <c r="M25" s="2">
        <f t="shared" si="45"/>
        <v>31506.16</v>
      </c>
      <c r="N25" s="2">
        <f t="shared" si="45"/>
        <v>27596.38</v>
      </c>
      <c r="O25" s="2">
        <f t="shared" si="45"/>
        <v>24076.720000000001</v>
      </c>
      <c r="P25" s="2">
        <f t="shared" si="12"/>
        <v>326561.5</v>
      </c>
      <c r="Q25" s="2"/>
      <c r="R25" s="150">
        <v>0.5</v>
      </c>
      <c r="S25" s="3">
        <f t="shared" si="33"/>
        <v>11024.15</v>
      </c>
      <c r="T25" s="3">
        <f t="shared" si="34"/>
        <v>10148.84</v>
      </c>
      <c r="U25" s="3">
        <f t="shared" si="35"/>
        <v>10794.89</v>
      </c>
      <c r="V25" s="3">
        <f t="shared" si="36"/>
        <v>11329.44</v>
      </c>
      <c r="W25" s="3">
        <f t="shared" si="37"/>
        <v>13385.9</v>
      </c>
      <c r="X25" s="3">
        <f t="shared" si="38"/>
        <v>15562.26</v>
      </c>
      <c r="Y25" s="3">
        <f t="shared" si="39"/>
        <v>15966.45</v>
      </c>
      <c r="Z25" s="3">
        <f t="shared" si="40"/>
        <v>17022.37</v>
      </c>
      <c r="AA25" s="3">
        <f t="shared" si="41"/>
        <v>16456.82</v>
      </c>
      <c r="AB25" s="3">
        <f t="shared" si="42"/>
        <v>15753.08</v>
      </c>
      <c r="AC25" s="16">
        <f t="shared" si="43"/>
        <v>13798.19</v>
      </c>
      <c r="AD25" s="16">
        <f t="shared" si="44"/>
        <v>12038.36</v>
      </c>
      <c r="AE25" s="3">
        <f t="shared" si="13"/>
        <v>163280.75</v>
      </c>
    </row>
    <row r="26" spans="1:31" x14ac:dyDescent="0.25">
      <c r="B26" t="s">
        <v>21</v>
      </c>
      <c r="D26" s="2">
        <f t="shared" si="45"/>
        <v>20454.2</v>
      </c>
      <c r="E26" s="2">
        <f t="shared" si="45"/>
        <v>19320.699999999997</v>
      </c>
      <c r="F26" s="2">
        <f t="shared" si="45"/>
        <v>20272.099999999999</v>
      </c>
      <c r="G26" s="2">
        <f t="shared" si="45"/>
        <v>21853.899999999998</v>
      </c>
      <c r="H26" s="2">
        <f t="shared" si="45"/>
        <v>20473.099999999999</v>
      </c>
      <c r="I26" s="2">
        <f t="shared" si="45"/>
        <v>24647.75</v>
      </c>
      <c r="J26" s="2">
        <f t="shared" si="45"/>
        <v>21984.2</v>
      </c>
      <c r="K26" s="2">
        <f t="shared" si="45"/>
        <v>25281.350000000002</v>
      </c>
      <c r="L26" s="2">
        <f t="shared" si="45"/>
        <v>26690.399999999998</v>
      </c>
      <c r="M26" s="2">
        <f t="shared" si="45"/>
        <v>32773.549999999996</v>
      </c>
      <c r="N26" s="2">
        <f t="shared" si="45"/>
        <v>18511.599999999999</v>
      </c>
      <c r="O26" s="2">
        <f t="shared" si="45"/>
        <v>22700.35</v>
      </c>
      <c r="P26" s="2">
        <f t="shared" si="12"/>
        <v>274963.20000000001</v>
      </c>
      <c r="Q26" s="2"/>
      <c r="R26" s="150">
        <v>-0.2</v>
      </c>
      <c r="S26" s="3">
        <f t="shared" si="33"/>
        <v>-4090.84</v>
      </c>
      <c r="T26" s="3">
        <f t="shared" si="34"/>
        <v>-3864.1399999999994</v>
      </c>
      <c r="U26" s="3">
        <f t="shared" si="35"/>
        <v>-4054.42</v>
      </c>
      <c r="V26" s="3">
        <f t="shared" si="36"/>
        <v>-4370.78</v>
      </c>
      <c r="W26" s="3">
        <f t="shared" si="37"/>
        <v>-4094.62</v>
      </c>
      <c r="X26" s="3">
        <f t="shared" si="38"/>
        <v>-4929.55</v>
      </c>
      <c r="Y26" s="3">
        <f t="shared" si="39"/>
        <v>-4396.84</v>
      </c>
      <c r="Z26" s="3">
        <f t="shared" si="40"/>
        <v>-5056.2700000000004</v>
      </c>
      <c r="AA26" s="3">
        <f t="shared" si="41"/>
        <v>-5338.08</v>
      </c>
      <c r="AB26" s="3">
        <f t="shared" si="42"/>
        <v>-6554.7099999999991</v>
      </c>
      <c r="AC26" s="16">
        <f t="shared" si="43"/>
        <v>-3702.3199999999997</v>
      </c>
      <c r="AD26" s="16">
        <f t="shared" si="44"/>
        <v>-4540.07</v>
      </c>
      <c r="AE26" s="3">
        <f t="shared" si="13"/>
        <v>-54992.639999999999</v>
      </c>
    </row>
    <row r="27" spans="1:31" x14ac:dyDescent="0.25">
      <c r="A27" t="s">
        <v>39</v>
      </c>
      <c r="B27" t="s">
        <v>14</v>
      </c>
      <c r="D27" s="8">
        <v>49</v>
      </c>
      <c r="E27" s="8">
        <v>48</v>
      </c>
      <c r="F27" s="8">
        <v>47</v>
      </c>
      <c r="G27" s="8">
        <v>49</v>
      </c>
      <c r="H27" s="8">
        <v>43</v>
      </c>
      <c r="I27" s="8">
        <v>53</v>
      </c>
      <c r="J27" s="8">
        <v>47</v>
      </c>
      <c r="K27" s="8">
        <v>47</v>
      </c>
      <c r="L27" s="8">
        <v>47</v>
      </c>
      <c r="M27" s="8">
        <v>47</v>
      </c>
      <c r="N27" s="8">
        <v>41</v>
      </c>
      <c r="O27" s="8">
        <v>47</v>
      </c>
      <c r="P27" s="2">
        <f t="shared" si="12"/>
        <v>565</v>
      </c>
      <c r="Q27" s="2"/>
      <c r="R27" s="150">
        <v>550</v>
      </c>
      <c r="S27" s="3">
        <f t="shared" ref="S27:AD29" si="46">$R27*D27</f>
        <v>26950</v>
      </c>
      <c r="T27" s="3">
        <f t="shared" si="46"/>
        <v>26400</v>
      </c>
      <c r="U27" s="3">
        <f t="shared" si="46"/>
        <v>25850</v>
      </c>
      <c r="V27" s="3">
        <f t="shared" si="46"/>
        <v>26950</v>
      </c>
      <c r="W27" s="3">
        <f t="shared" si="46"/>
        <v>23650</v>
      </c>
      <c r="X27" s="3">
        <f t="shared" si="46"/>
        <v>29150</v>
      </c>
      <c r="Y27" s="3">
        <f t="shared" si="46"/>
        <v>25850</v>
      </c>
      <c r="Z27" s="3">
        <f t="shared" si="46"/>
        <v>25850</v>
      </c>
      <c r="AA27" s="3">
        <f t="shared" si="46"/>
        <v>25850</v>
      </c>
      <c r="AB27" s="3">
        <f t="shared" si="46"/>
        <v>25850</v>
      </c>
      <c r="AC27" s="16">
        <f t="shared" si="46"/>
        <v>22550</v>
      </c>
      <c r="AD27" s="16">
        <f t="shared" si="46"/>
        <v>25850</v>
      </c>
      <c r="AE27" s="3">
        <f t="shared" si="13"/>
        <v>310750</v>
      </c>
    </row>
    <row r="28" spans="1:31" x14ac:dyDescent="0.25">
      <c r="B28" t="s">
        <v>15</v>
      </c>
      <c r="D28" s="8">
        <v>3479019.72</v>
      </c>
      <c r="E28" s="8">
        <v>3123810.4</v>
      </c>
      <c r="F28" s="8">
        <v>2988244.5</v>
      </c>
      <c r="G28" s="8">
        <v>2603463.98</v>
      </c>
      <c r="H28" s="8">
        <v>1985956.22</v>
      </c>
      <c r="I28" s="8">
        <v>2265141.7599999998</v>
      </c>
      <c r="J28" s="8">
        <v>2202078.64</v>
      </c>
      <c r="K28" s="8">
        <v>2450117.7599999998</v>
      </c>
      <c r="L28" s="8">
        <v>2374508.2599999998</v>
      </c>
      <c r="M28" s="8">
        <v>2193711.96</v>
      </c>
      <c r="N28" s="8">
        <v>2211952.92</v>
      </c>
      <c r="O28" s="8">
        <v>3217715.08</v>
      </c>
      <c r="P28" s="2">
        <f t="shared" si="12"/>
        <v>31095721.200000003</v>
      </c>
      <c r="Q28" s="2"/>
      <c r="R28" s="151">
        <v>7.6359999999999997E-2</v>
      </c>
      <c r="S28" s="3">
        <f t="shared" si="46"/>
        <v>265657.94581920002</v>
      </c>
      <c r="T28" s="3">
        <f t="shared" si="46"/>
        <v>238534.16214399997</v>
      </c>
      <c r="U28" s="3">
        <f t="shared" si="46"/>
        <v>228182.35001999998</v>
      </c>
      <c r="V28" s="3">
        <f t="shared" si="46"/>
        <v>198800.5095128</v>
      </c>
      <c r="W28" s="3">
        <f t="shared" si="46"/>
        <v>151647.61695919998</v>
      </c>
      <c r="X28" s="3">
        <f t="shared" si="46"/>
        <v>172966.22479359998</v>
      </c>
      <c r="Y28" s="3">
        <f t="shared" si="46"/>
        <v>168150.72495040001</v>
      </c>
      <c r="Z28" s="3">
        <f t="shared" si="46"/>
        <v>187090.99215359997</v>
      </c>
      <c r="AA28" s="3">
        <f t="shared" si="46"/>
        <v>181317.45073359998</v>
      </c>
      <c r="AB28" s="3">
        <f t="shared" si="46"/>
        <v>167511.84526559999</v>
      </c>
      <c r="AC28" s="16">
        <f t="shared" si="46"/>
        <v>168904.72497119999</v>
      </c>
      <c r="AD28" s="16">
        <f t="shared" si="46"/>
        <v>245704.7235088</v>
      </c>
      <c r="AE28" s="3">
        <f t="shared" si="13"/>
        <v>2374469.2708319998</v>
      </c>
    </row>
    <row r="29" spans="1:31" x14ac:dyDescent="0.25">
      <c r="B29" t="s">
        <v>16</v>
      </c>
      <c r="D29" s="8">
        <v>40674.800000000003</v>
      </c>
      <c r="E29" s="8">
        <v>13489.04</v>
      </c>
      <c r="F29" s="8">
        <v>1305.68</v>
      </c>
      <c r="G29" s="8">
        <v>0</v>
      </c>
      <c r="H29" s="8">
        <v>0</v>
      </c>
      <c r="I29" s="8">
        <v>0</v>
      </c>
      <c r="J29" s="8">
        <v>0</v>
      </c>
      <c r="K29" s="8">
        <v>38012</v>
      </c>
      <c r="L29" s="8">
        <v>44594</v>
      </c>
      <c r="M29" s="8">
        <v>20888.599999999999</v>
      </c>
      <c r="N29" s="8">
        <v>0</v>
      </c>
      <c r="O29" s="8">
        <v>0</v>
      </c>
      <c r="P29" s="2">
        <f t="shared" si="12"/>
        <v>158964.12000000002</v>
      </c>
      <c r="Q29" s="2"/>
      <c r="R29" s="151">
        <v>6.8430000000000005E-2</v>
      </c>
      <c r="S29" s="3">
        <f t="shared" si="46"/>
        <v>2783.3765640000006</v>
      </c>
      <c r="T29" s="3">
        <f t="shared" si="46"/>
        <v>923.05500720000009</v>
      </c>
      <c r="U29" s="3">
        <f t="shared" si="46"/>
        <v>89.347682400000011</v>
      </c>
      <c r="V29" s="3">
        <f t="shared" si="46"/>
        <v>0</v>
      </c>
      <c r="W29" s="3">
        <f t="shared" si="46"/>
        <v>0</v>
      </c>
      <c r="X29" s="3">
        <f t="shared" si="46"/>
        <v>0</v>
      </c>
      <c r="Y29" s="3">
        <f t="shared" si="46"/>
        <v>0</v>
      </c>
      <c r="Z29" s="3">
        <f t="shared" si="46"/>
        <v>2601.1611600000001</v>
      </c>
      <c r="AA29" s="3">
        <f t="shared" si="46"/>
        <v>3051.5674200000003</v>
      </c>
      <c r="AB29" s="3">
        <f t="shared" si="46"/>
        <v>1429.406898</v>
      </c>
      <c r="AC29" s="16">
        <f t="shared" si="46"/>
        <v>0</v>
      </c>
      <c r="AD29" s="16">
        <f t="shared" si="46"/>
        <v>0</v>
      </c>
      <c r="AE29" s="3">
        <f t="shared" si="13"/>
        <v>10877.9147316</v>
      </c>
    </row>
    <row r="30" spans="1:31" x14ac:dyDescent="0.25">
      <c r="B30" t="s">
        <v>19</v>
      </c>
      <c r="D30" s="2">
        <f>D124/D127</f>
        <v>5019.38</v>
      </c>
      <c r="E30" s="2">
        <f t="shared" ref="E30:O30" si="47">E124/E127</f>
        <v>5050.9523076923078</v>
      </c>
      <c r="F30" s="2">
        <f t="shared" si="47"/>
        <v>4722.6799999999994</v>
      </c>
      <c r="G30" s="2">
        <f t="shared" si="47"/>
        <v>3972.934285714286</v>
      </c>
      <c r="H30" s="2">
        <f t="shared" si="47"/>
        <v>2925.261428571429</v>
      </c>
      <c r="I30" s="2">
        <f t="shared" si="47"/>
        <v>3409.5528571428572</v>
      </c>
      <c r="J30" s="2">
        <f t="shared" si="47"/>
        <v>3352.312857142857</v>
      </c>
      <c r="K30" s="2">
        <f t="shared" si="47"/>
        <v>4000.4014285714288</v>
      </c>
      <c r="L30" s="2">
        <f t="shared" si="47"/>
        <v>3608.7042857142856</v>
      </c>
      <c r="M30" s="2">
        <f t="shared" si="47"/>
        <v>3369.7214285714285</v>
      </c>
      <c r="N30" s="2">
        <f t="shared" si="47"/>
        <v>4163.8257142857137</v>
      </c>
      <c r="O30" s="2">
        <f t="shared" si="47"/>
        <v>4375.9614285714288</v>
      </c>
      <c r="P30" s="2">
        <f t="shared" si="12"/>
        <v>47971.688021978021</v>
      </c>
      <c r="Q30" s="2"/>
      <c r="R30" s="150">
        <v>7</v>
      </c>
      <c r="S30" s="3">
        <f t="shared" ref="S30:S32" si="48">$R30*D30</f>
        <v>35135.660000000003</v>
      </c>
      <c r="T30" s="3">
        <f t="shared" ref="T30:T32" si="49">$R30*E30</f>
        <v>35356.666153846156</v>
      </c>
      <c r="U30" s="3">
        <f t="shared" ref="U30:U32" si="50">$R30*F30</f>
        <v>33058.759999999995</v>
      </c>
      <c r="V30" s="3">
        <f t="shared" ref="V30:V32" si="51">$R30*G30</f>
        <v>27810.54</v>
      </c>
      <c r="W30" s="3">
        <f t="shared" ref="W30:W32" si="52">$R30*H30</f>
        <v>20476.830000000002</v>
      </c>
      <c r="X30" s="3">
        <f t="shared" ref="X30:X32" si="53">$R30*I30</f>
        <v>23866.87</v>
      </c>
      <c r="Y30" s="3">
        <f t="shared" ref="Y30:Y32" si="54">$R30*J30</f>
        <v>23466.19</v>
      </c>
      <c r="Z30" s="3">
        <f t="shared" ref="Z30:Z32" si="55">$R30*K30</f>
        <v>28002.81</v>
      </c>
      <c r="AA30" s="3">
        <f t="shared" ref="AA30:AA32" si="56">$R30*L30</f>
        <v>25260.93</v>
      </c>
      <c r="AB30" s="3">
        <f t="shared" ref="AB30:AB32" si="57">$R30*M30</f>
        <v>23588.05</v>
      </c>
      <c r="AC30" s="16">
        <f t="shared" ref="AC30:AC32" si="58">$R30*N30</f>
        <v>29146.779999999995</v>
      </c>
      <c r="AD30" s="16">
        <f t="shared" ref="AD30:AD32" si="59">$R30*O30</f>
        <v>30631.730000000003</v>
      </c>
      <c r="AE30" s="3">
        <f t="shared" si="13"/>
        <v>335801.8161538461</v>
      </c>
    </row>
    <row r="31" spans="1:31" x14ac:dyDescent="0.25">
      <c r="B31" t="s">
        <v>20</v>
      </c>
      <c r="D31" s="2">
        <f t="shared" ref="D31:D32" si="60">D125/D128</f>
        <v>0</v>
      </c>
      <c r="E31" s="2">
        <f t="shared" ref="E31:O31" si="61">E125/E128</f>
        <v>0</v>
      </c>
      <c r="F31" s="2">
        <f t="shared" si="61"/>
        <v>0</v>
      </c>
      <c r="G31" s="2">
        <f t="shared" si="61"/>
        <v>0</v>
      </c>
      <c r="H31" s="2">
        <f t="shared" si="61"/>
        <v>0</v>
      </c>
      <c r="I31" s="2">
        <f t="shared" si="61"/>
        <v>5.96</v>
      </c>
      <c r="J31" s="2">
        <f t="shared" si="61"/>
        <v>7.36</v>
      </c>
      <c r="K31" s="2">
        <f t="shared" si="61"/>
        <v>11.68</v>
      </c>
      <c r="L31" s="2">
        <f t="shared" si="61"/>
        <v>7.84</v>
      </c>
      <c r="M31" s="2">
        <f t="shared" si="61"/>
        <v>30.78</v>
      </c>
      <c r="N31" s="2">
        <f t="shared" si="61"/>
        <v>0</v>
      </c>
      <c r="O31" s="2">
        <f t="shared" si="61"/>
        <v>0</v>
      </c>
      <c r="P31" s="2">
        <f t="shared" si="12"/>
        <v>63.620000000000005</v>
      </c>
      <c r="Q31" s="2"/>
      <c r="R31" s="150">
        <v>0.5</v>
      </c>
      <c r="S31" s="3">
        <f t="shared" si="48"/>
        <v>0</v>
      </c>
      <c r="T31" s="3">
        <f t="shared" si="49"/>
        <v>0</v>
      </c>
      <c r="U31" s="3">
        <f t="shared" si="50"/>
        <v>0</v>
      </c>
      <c r="V31" s="3">
        <f t="shared" si="51"/>
        <v>0</v>
      </c>
      <c r="W31" s="3">
        <f t="shared" si="52"/>
        <v>0</v>
      </c>
      <c r="X31" s="3">
        <f t="shared" si="53"/>
        <v>2.98</v>
      </c>
      <c r="Y31" s="3">
        <f t="shared" si="54"/>
        <v>3.68</v>
      </c>
      <c r="Z31" s="3">
        <f t="shared" si="55"/>
        <v>5.84</v>
      </c>
      <c r="AA31" s="3">
        <f t="shared" si="56"/>
        <v>3.92</v>
      </c>
      <c r="AB31" s="3">
        <f t="shared" si="57"/>
        <v>15.39</v>
      </c>
      <c r="AC31" s="16">
        <f t="shared" si="58"/>
        <v>0</v>
      </c>
      <c r="AD31" s="16">
        <f t="shared" si="59"/>
        <v>0</v>
      </c>
      <c r="AE31" s="3">
        <f t="shared" si="13"/>
        <v>31.810000000000002</v>
      </c>
    </row>
    <row r="32" spans="1:31" x14ac:dyDescent="0.25">
      <c r="B32" t="s">
        <v>21</v>
      </c>
      <c r="D32" s="2">
        <f t="shared" si="60"/>
        <v>0</v>
      </c>
      <c r="E32" s="2">
        <f t="shared" ref="E32:O32" si="62">E126/E129</f>
        <v>0</v>
      </c>
      <c r="F32" s="2">
        <f t="shared" si="62"/>
        <v>0</v>
      </c>
      <c r="G32" s="2">
        <f t="shared" si="62"/>
        <v>0</v>
      </c>
      <c r="H32" s="2">
        <f t="shared" si="62"/>
        <v>0</v>
      </c>
      <c r="I32" s="2">
        <f t="shared" si="62"/>
        <v>0</v>
      </c>
      <c r="J32" s="2">
        <f t="shared" si="62"/>
        <v>0</v>
      </c>
      <c r="K32" s="2">
        <f t="shared" si="62"/>
        <v>0</v>
      </c>
      <c r="L32" s="2">
        <f t="shared" si="62"/>
        <v>0</v>
      </c>
      <c r="M32" s="2">
        <f t="shared" si="62"/>
        <v>0</v>
      </c>
      <c r="N32" s="2">
        <f t="shared" si="62"/>
        <v>0</v>
      </c>
      <c r="O32" s="2">
        <f t="shared" si="62"/>
        <v>0</v>
      </c>
      <c r="P32" s="2">
        <f t="shared" si="12"/>
        <v>0</v>
      </c>
      <c r="Q32" s="2"/>
      <c r="R32" s="150">
        <v>-0.2</v>
      </c>
      <c r="S32" s="3">
        <f t="shared" si="48"/>
        <v>0</v>
      </c>
      <c r="T32" s="3">
        <f t="shared" si="49"/>
        <v>0</v>
      </c>
      <c r="U32" s="3">
        <f t="shared" si="50"/>
        <v>0</v>
      </c>
      <c r="V32" s="3">
        <f t="shared" si="51"/>
        <v>0</v>
      </c>
      <c r="W32" s="3">
        <f t="shared" si="52"/>
        <v>0</v>
      </c>
      <c r="X32" s="3">
        <f t="shared" si="53"/>
        <v>0</v>
      </c>
      <c r="Y32" s="3">
        <f t="shared" si="54"/>
        <v>0</v>
      </c>
      <c r="Z32" s="3">
        <f t="shared" si="55"/>
        <v>0</v>
      </c>
      <c r="AA32" s="3">
        <f t="shared" si="56"/>
        <v>0</v>
      </c>
      <c r="AB32" s="3">
        <f t="shared" si="57"/>
        <v>0</v>
      </c>
      <c r="AC32" s="16">
        <f t="shared" si="58"/>
        <v>0</v>
      </c>
      <c r="AD32" s="16">
        <f t="shared" si="59"/>
        <v>0</v>
      </c>
      <c r="AE32" s="3">
        <f t="shared" si="13"/>
        <v>0</v>
      </c>
    </row>
    <row r="33" spans="1:31" x14ac:dyDescent="0.25">
      <c r="A33" t="s">
        <v>40</v>
      </c>
      <c r="B33" t="s">
        <v>14</v>
      </c>
      <c r="D33" s="140">
        <f>'WA Sch 25'!F120</f>
        <v>23</v>
      </c>
      <c r="E33" s="140">
        <f>'WA Sch 25'!G120</f>
        <v>23</v>
      </c>
      <c r="F33" s="140">
        <f>'WA Sch 25'!H120</f>
        <v>23</v>
      </c>
      <c r="G33" s="140">
        <f>'WA Sch 25'!I120</f>
        <v>23</v>
      </c>
      <c r="H33" s="140">
        <f>'WA Sch 25'!J120</f>
        <v>23</v>
      </c>
      <c r="I33" s="140">
        <f>'WA Sch 25'!K120</f>
        <v>23</v>
      </c>
      <c r="J33" s="140">
        <f>'WA Sch 25'!L120</f>
        <v>23</v>
      </c>
      <c r="K33" s="140">
        <f>'WA Sch 25'!M120</f>
        <v>23</v>
      </c>
      <c r="L33" s="140">
        <f>'WA Sch 25'!N120</f>
        <v>23</v>
      </c>
      <c r="M33" s="140">
        <f>'WA Sch 25'!O120</f>
        <v>23</v>
      </c>
      <c r="N33" s="140">
        <f>'WA Sch 25'!P120</f>
        <v>23</v>
      </c>
      <c r="O33" s="140">
        <f>'WA Sch 25'!Q120</f>
        <v>23</v>
      </c>
      <c r="P33" s="2">
        <f t="shared" si="12"/>
        <v>276</v>
      </c>
      <c r="Q33" s="2"/>
      <c r="R33" s="150">
        <v>30650</v>
      </c>
      <c r="S33" s="3">
        <f t="shared" ref="S33:AD36" si="63">$R33*D33</f>
        <v>704950</v>
      </c>
      <c r="T33" s="3">
        <f t="shared" si="63"/>
        <v>704950</v>
      </c>
      <c r="U33" s="3">
        <f t="shared" si="63"/>
        <v>704950</v>
      </c>
      <c r="V33" s="3">
        <f t="shared" si="63"/>
        <v>704950</v>
      </c>
      <c r="W33" s="3">
        <f t="shared" si="63"/>
        <v>704950</v>
      </c>
      <c r="X33" s="3">
        <f t="shared" si="63"/>
        <v>704950</v>
      </c>
      <c r="Y33" s="3">
        <f t="shared" si="63"/>
        <v>704950</v>
      </c>
      <c r="Z33" s="3">
        <f t="shared" si="63"/>
        <v>704950</v>
      </c>
      <c r="AA33" s="3">
        <f t="shared" si="63"/>
        <v>704950</v>
      </c>
      <c r="AB33" s="3">
        <f t="shared" si="63"/>
        <v>704950</v>
      </c>
      <c r="AC33" s="16">
        <f t="shared" si="63"/>
        <v>704950</v>
      </c>
      <c r="AD33" s="16">
        <f t="shared" si="63"/>
        <v>704950</v>
      </c>
      <c r="AE33" s="3">
        <f t="shared" si="13"/>
        <v>8459400</v>
      </c>
    </row>
    <row r="34" spans="1:31" x14ac:dyDescent="0.25">
      <c r="B34" t="s">
        <v>15</v>
      </c>
      <c r="D34" s="140">
        <f>'WA Sch 25'!F126</f>
        <v>11500000</v>
      </c>
      <c r="E34" s="140">
        <f>'WA Sch 25'!G126</f>
        <v>11500000</v>
      </c>
      <c r="F34" s="140">
        <f>'WA Sch 25'!H126</f>
        <v>11500000</v>
      </c>
      <c r="G34" s="140">
        <f>'WA Sch 25'!I126</f>
        <v>11500000</v>
      </c>
      <c r="H34" s="140">
        <f>'WA Sch 25'!J126</f>
        <v>11500000</v>
      </c>
      <c r="I34" s="140">
        <f>'WA Sch 25'!K126</f>
        <v>11500000</v>
      </c>
      <c r="J34" s="140">
        <f>'WA Sch 25'!L126</f>
        <v>11500000</v>
      </c>
      <c r="K34" s="140">
        <f>'WA Sch 25'!M126</f>
        <v>11500000</v>
      </c>
      <c r="L34" s="140">
        <f>'WA Sch 25'!N126</f>
        <v>11500000</v>
      </c>
      <c r="M34" s="140">
        <f>'WA Sch 25'!O126</f>
        <v>11500000</v>
      </c>
      <c r="N34" s="140">
        <f>'WA Sch 25'!P126</f>
        <v>11500000</v>
      </c>
      <c r="O34" s="140">
        <f>'WA Sch 25'!Q126</f>
        <v>11500000</v>
      </c>
      <c r="P34" s="2">
        <f t="shared" si="12"/>
        <v>138000000</v>
      </c>
      <c r="Q34" s="2"/>
      <c r="R34" s="151">
        <v>5.4710000000000002E-2</v>
      </c>
      <c r="S34" s="3">
        <f t="shared" si="63"/>
        <v>629165</v>
      </c>
      <c r="T34" s="3">
        <f t="shared" si="63"/>
        <v>629165</v>
      </c>
      <c r="U34" s="3">
        <f t="shared" si="63"/>
        <v>629165</v>
      </c>
      <c r="V34" s="3">
        <f t="shared" si="63"/>
        <v>629165</v>
      </c>
      <c r="W34" s="3">
        <f t="shared" si="63"/>
        <v>629165</v>
      </c>
      <c r="X34" s="3">
        <f t="shared" si="63"/>
        <v>629165</v>
      </c>
      <c r="Y34" s="3">
        <f t="shared" si="63"/>
        <v>629165</v>
      </c>
      <c r="Z34" s="3">
        <f t="shared" si="63"/>
        <v>629165</v>
      </c>
      <c r="AA34" s="3">
        <f t="shared" si="63"/>
        <v>629165</v>
      </c>
      <c r="AB34" s="3">
        <f t="shared" si="63"/>
        <v>629165</v>
      </c>
      <c r="AC34" s="16">
        <f t="shared" si="63"/>
        <v>629165</v>
      </c>
      <c r="AD34" s="16">
        <f t="shared" si="63"/>
        <v>629165</v>
      </c>
      <c r="AE34" s="3">
        <f t="shared" si="13"/>
        <v>7549980</v>
      </c>
    </row>
    <row r="35" spans="1:31" x14ac:dyDescent="0.25">
      <c r="B35" t="s">
        <v>16</v>
      </c>
      <c r="D35" s="140">
        <f>'WA Sch 25'!F125</f>
        <v>48565098.660000011</v>
      </c>
      <c r="E35" s="140">
        <f>'WA Sch 25'!G125</f>
        <v>44307385.569999978</v>
      </c>
      <c r="F35" s="140">
        <f>'WA Sch 25'!H125</f>
        <v>44818110.069999978</v>
      </c>
      <c r="G35" s="140">
        <f>'WA Sch 25'!I125</f>
        <v>37424730.390000001</v>
      </c>
      <c r="H35" s="140">
        <f>'WA Sch 25'!J125</f>
        <v>33932085.51000002</v>
      </c>
      <c r="I35" s="140">
        <f>'WA Sch 25'!K125</f>
        <v>39867014.971000008</v>
      </c>
      <c r="J35" s="140">
        <f>'WA Sch 25'!L125</f>
        <v>41439298.637999982</v>
      </c>
      <c r="K35" s="140">
        <f>'WA Sch 25'!M125</f>
        <v>44400029.409999982</v>
      </c>
      <c r="L35" s="140">
        <f>'WA Sch 25'!N125</f>
        <v>41157455.541999996</v>
      </c>
      <c r="M35" s="140">
        <f>'WA Sch 25'!O125</f>
        <v>41922588.502999976</v>
      </c>
      <c r="N35" s="140">
        <f>'WA Sch 25'!P125</f>
        <v>37555992.030000016</v>
      </c>
      <c r="O35" s="140">
        <f>'WA Sch 25'!Q125</f>
        <v>38082207.429999992</v>
      </c>
      <c r="P35" s="2">
        <f t="shared" si="12"/>
        <v>493471996.72399992</v>
      </c>
      <c r="Q35" s="2"/>
      <c r="R35" s="151">
        <v>4.9189999999999998E-2</v>
      </c>
      <c r="S35" s="3">
        <f t="shared" si="63"/>
        <v>2388917.2030854006</v>
      </c>
      <c r="T35" s="3">
        <f t="shared" si="63"/>
        <v>2179480.2961882986</v>
      </c>
      <c r="U35" s="3">
        <f t="shared" si="63"/>
        <v>2204602.8343432988</v>
      </c>
      <c r="V35" s="3">
        <f t="shared" si="63"/>
        <v>1840922.4878840998</v>
      </c>
      <c r="W35" s="3">
        <f t="shared" si="63"/>
        <v>1669119.2862369008</v>
      </c>
      <c r="X35" s="3">
        <f t="shared" si="63"/>
        <v>1961058.4664234903</v>
      </c>
      <c r="Y35" s="3">
        <f t="shared" si="63"/>
        <v>2038399.100003219</v>
      </c>
      <c r="Z35" s="3">
        <f t="shared" si="63"/>
        <v>2184037.446677899</v>
      </c>
      <c r="AA35" s="3">
        <f t="shared" si="63"/>
        <v>2024535.2381109798</v>
      </c>
      <c r="AB35" s="3">
        <f t="shared" si="63"/>
        <v>2062172.1284625686</v>
      </c>
      <c r="AC35" s="16">
        <f t="shared" si="63"/>
        <v>1847379.2479557006</v>
      </c>
      <c r="AD35" s="16">
        <f t="shared" si="63"/>
        <v>1873263.7834816994</v>
      </c>
      <c r="AE35" s="3">
        <f t="shared" si="13"/>
        <v>24273887.518853556</v>
      </c>
    </row>
    <row r="36" spans="1:31" x14ac:dyDescent="0.25">
      <c r="B36" t="s">
        <v>17</v>
      </c>
      <c r="D36" s="140">
        <f>'WA Sch 25'!F124</f>
        <v>34848350</v>
      </c>
      <c r="E36" s="140">
        <f>'WA Sch 25'!G124</f>
        <v>26724334</v>
      </c>
      <c r="F36" s="140">
        <f>'WA Sch 25'!H124</f>
        <v>25040188</v>
      </c>
      <c r="G36" s="140">
        <f>'WA Sch 25'!I124</f>
        <v>26529148</v>
      </c>
      <c r="H36" s="140">
        <f>'WA Sch 25'!J124</f>
        <v>27764226</v>
      </c>
      <c r="I36" s="140">
        <f>'WA Sch 25'!K124</f>
        <v>11662074</v>
      </c>
      <c r="J36" s="140">
        <f>'WA Sch 25'!L124</f>
        <v>27902478</v>
      </c>
      <c r="K36" s="140">
        <f>'WA Sch 25'!M124</f>
        <v>34852464</v>
      </c>
      <c r="L36" s="140">
        <f>'WA Sch 25'!N124</f>
        <v>33406300</v>
      </c>
      <c r="M36" s="140">
        <f>'WA Sch 25'!O124</f>
        <v>33072646</v>
      </c>
      <c r="N36" s="140">
        <f>'WA Sch 25'!P124</f>
        <v>31955142</v>
      </c>
      <c r="O36" s="140">
        <f>'WA Sch 25'!Q124</f>
        <v>33841864</v>
      </c>
      <c r="P36" s="2">
        <f t="shared" si="12"/>
        <v>347599214</v>
      </c>
      <c r="Q36" s="2"/>
      <c r="R36" s="151">
        <v>4.1079999999999998E-2</v>
      </c>
      <c r="S36" s="3">
        <f t="shared" si="63"/>
        <v>1431570.2179999999</v>
      </c>
      <c r="T36" s="3">
        <f t="shared" si="63"/>
        <v>1097835.64072</v>
      </c>
      <c r="U36" s="3">
        <f t="shared" si="63"/>
        <v>1028650.9230399999</v>
      </c>
      <c r="V36" s="3">
        <f t="shared" si="63"/>
        <v>1089817.3998399999</v>
      </c>
      <c r="W36" s="3">
        <f t="shared" si="63"/>
        <v>1140554.40408</v>
      </c>
      <c r="X36" s="3">
        <f t="shared" si="63"/>
        <v>479077.99991999997</v>
      </c>
      <c r="Y36" s="3">
        <f t="shared" si="63"/>
        <v>1146233.7962400001</v>
      </c>
      <c r="Z36" s="3">
        <f t="shared" si="63"/>
        <v>1431739.2211199999</v>
      </c>
      <c r="AA36" s="3">
        <f t="shared" si="63"/>
        <v>1372330.804</v>
      </c>
      <c r="AB36" s="3">
        <f t="shared" si="63"/>
        <v>1358624.2976799998</v>
      </c>
      <c r="AC36" s="16">
        <f t="shared" si="63"/>
        <v>1312717.23336</v>
      </c>
      <c r="AD36" s="16">
        <f t="shared" si="63"/>
        <v>1390223.77312</v>
      </c>
      <c r="AE36" s="3">
        <f t="shared" si="13"/>
        <v>14279375.711119998</v>
      </c>
    </row>
    <row r="37" spans="1:31" x14ac:dyDescent="0.25">
      <c r="B37" t="s">
        <v>19</v>
      </c>
      <c r="D37" s="2">
        <f>'WA Sch 25'!F92</f>
        <v>102455.565</v>
      </c>
      <c r="E37" s="2">
        <f>'WA Sch 25'!G92</f>
        <v>99437.62999999999</v>
      </c>
      <c r="F37" s="2">
        <f>'WA Sch 25'!H92</f>
        <v>103742.62699999998</v>
      </c>
      <c r="G37" s="2">
        <f>'WA Sch 25'!I92</f>
        <v>97345.856999999975</v>
      </c>
      <c r="H37" s="2">
        <f>'WA Sch 25'!J92</f>
        <v>99679.336999999985</v>
      </c>
      <c r="I37" s="2">
        <f>'WA Sch 25'!K92</f>
        <v>98580.511999999988</v>
      </c>
      <c r="J37" s="2">
        <f>'WA Sch 25'!L92</f>
        <v>102605.17199999996</v>
      </c>
      <c r="K37" s="2">
        <f>'WA Sch 25'!M92</f>
        <v>101144.402</v>
      </c>
      <c r="L37" s="2">
        <f>'WA Sch 25'!N92</f>
        <v>102119.85799999999</v>
      </c>
      <c r="M37" s="2">
        <f>'WA Sch 25'!O92</f>
        <v>102093.34299999999</v>
      </c>
      <c r="N37" s="2">
        <f>'WA Sch 25'!P92</f>
        <v>87119.002000000008</v>
      </c>
      <c r="O37" s="2">
        <f>'WA Sch 25'!Q92</f>
        <v>89073.22</v>
      </c>
      <c r="P37" s="2">
        <f t="shared" si="12"/>
        <v>1185396.5249999999</v>
      </c>
      <c r="Q37" s="2"/>
      <c r="R37" s="150">
        <v>8.3000000000000007</v>
      </c>
      <c r="S37" s="3">
        <f t="shared" ref="S37:S40" si="64">$R37*D37</f>
        <v>850381.18950000009</v>
      </c>
      <c r="T37" s="3">
        <f t="shared" ref="T37:T40" si="65">$R37*E37</f>
        <v>825332.32900000003</v>
      </c>
      <c r="U37" s="3">
        <f t="shared" ref="U37:U40" si="66">$R37*F37</f>
        <v>861063.80409999995</v>
      </c>
      <c r="V37" s="3">
        <f t="shared" ref="V37:V40" si="67">$R37*G37</f>
        <v>807970.61309999984</v>
      </c>
      <c r="W37" s="3">
        <f t="shared" ref="W37:W40" si="68">$R37*H37</f>
        <v>827338.49709999992</v>
      </c>
      <c r="X37" s="3">
        <f t="shared" ref="X37:X40" si="69">$R37*I37</f>
        <v>818218.24959999998</v>
      </c>
      <c r="Y37" s="3">
        <f t="shared" ref="Y37:Y40" si="70">$R37*J37</f>
        <v>851622.9275999997</v>
      </c>
      <c r="Z37" s="3">
        <f t="shared" ref="Z37:Z40" si="71">$R37*K37</f>
        <v>839498.53660000011</v>
      </c>
      <c r="AA37" s="3">
        <f t="shared" ref="AA37:AA40" si="72">$R37*L37</f>
        <v>847594.82140000002</v>
      </c>
      <c r="AB37" s="3">
        <f t="shared" ref="AB37:AB40" si="73">$R37*M37</f>
        <v>847374.74690000003</v>
      </c>
      <c r="AC37" s="16">
        <f t="shared" ref="AC37:AC40" si="74">$R37*N37</f>
        <v>723087.71660000016</v>
      </c>
      <c r="AD37" s="16">
        <f t="shared" ref="AD37:AD40" si="75">$R37*O37</f>
        <v>739307.72600000002</v>
      </c>
      <c r="AE37" s="3">
        <f t="shared" si="13"/>
        <v>9838791.1574999988</v>
      </c>
    </row>
    <row r="38" spans="1:31" x14ac:dyDescent="0.25">
      <c r="B38" t="s">
        <v>22</v>
      </c>
      <c r="D38" s="2">
        <f>'WA Sch 25'!F129</f>
        <v>91862.228999999992</v>
      </c>
      <c r="E38" s="2">
        <f>'WA Sch 25'!G129</f>
        <v>91463.438999999984</v>
      </c>
      <c r="F38" s="2">
        <f>'WA Sch 25'!H129</f>
        <v>90261.339999999967</v>
      </c>
      <c r="G38" s="2">
        <f>'WA Sch 25'!I129</f>
        <v>85882.390999999974</v>
      </c>
      <c r="H38" s="2">
        <f>'WA Sch 25'!J129</f>
        <v>89866.217000000004</v>
      </c>
      <c r="I38" s="2">
        <f>'WA Sch 25'!K129</f>
        <v>92131.768000000011</v>
      </c>
      <c r="J38" s="2">
        <f>'WA Sch 25'!L129</f>
        <v>94622.919999999984</v>
      </c>
      <c r="K38" s="2">
        <f>'WA Sch 25'!M129</f>
        <v>93400.699999999983</v>
      </c>
      <c r="L38" s="2">
        <f>'WA Sch 25'!N129</f>
        <v>92996.649000000063</v>
      </c>
      <c r="M38" s="2">
        <f>'WA Sch 25'!O129</f>
        <v>94000.083000000013</v>
      </c>
      <c r="N38" s="2">
        <f>'WA Sch 25'!P129</f>
        <v>82563.600000000006</v>
      </c>
      <c r="O38" s="2">
        <f>'WA Sch 25'!Q129</f>
        <v>83549.407000000007</v>
      </c>
      <c r="P38" s="2">
        <f t="shared" si="12"/>
        <v>1082600.7429999998</v>
      </c>
      <c r="Q38" s="2"/>
      <c r="R38" s="150">
        <v>-0.2</v>
      </c>
      <c r="S38" s="3">
        <f t="shared" si="64"/>
        <v>-18372.445799999998</v>
      </c>
      <c r="T38" s="3">
        <f t="shared" si="65"/>
        <v>-18292.687799999996</v>
      </c>
      <c r="U38" s="3">
        <f t="shared" si="66"/>
        <v>-18052.267999999993</v>
      </c>
      <c r="V38" s="3">
        <f t="shared" si="67"/>
        <v>-17176.478199999994</v>
      </c>
      <c r="W38" s="3">
        <f t="shared" si="68"/>
        <v>-17973.243400000003</v>
      </c>
      <c r="X38" s="3">
        <f t="shared" si="69"/>
        <v>-18426.353600000002</v>
      </c>
      <c r="Y38" s="3">
        <f t="shared" si="70"/>
        <v>-18924.583999999999</v>
      </c>
      <c r="Z38" s="3">
        <f t="shared" si="71"/>
        <v>-18680.139999999996</v>
      </c>
      <c r="AA38" s="3">
        <f t="shared" si="72"/>
        <v>-18599.329800000014</v>
      </c>
      <c r="AB38" s="3">
        <f t="shared" si="73"/>
        <v>-18800.016600000003</v>
      </c>
      <c r="AC38" s="16">
        <f t="shared" si="74"/>
        <v>-16512.72</v>
      </c>
      <c r="AD38" s="16">
        <f t="shared" si="75"/>
        <v>-16709.881400000002</v>
      </c>
      <c r="AE38" s="3">
        <f t="shared" si="13"/>
        <v>-216520.14860000001</v>
      </c>
    </row>
    <row r="39" spans="1:31" x14ac:dyDescent="0.25">
      <c r="B39" t="s">
        <v>23</v>
      </c>
      <c r="D39" s="2">
        <f>'WA Sch 25'!F130</f>
        <v>10503.372727272726</v>
      </c>
      <c r="E39" s="2">
        <f>'WA Sch 25'!G130</f>
        <v>9305.5636363636368</v>
      </c>
      <c r="F39" s="2">
        <f>'WA Sch 25'!H130</f>
        <v>9238.7545454545434</v>
      </c>
      <c r="G39" s="2">
        <f>'WA Sch 25'!I130</f>
        <v>7814.0526315789475</v>
      </c>
      <c r="H39" s="2">
        <f>'WA Sch 25'!J130</f>
        <v>11878.907894736842</v>
      </c>
      <c r="I39" s="2">
        <f>'WA Sch 25'!K130</f>
        <v>11470.618421052632</v>
      </c>
      <c r="J39" s="2">
        <f>'WA Sch 25'!L130</f>
        <v>9072.3618421052633</v>
      </c>
      <c r="K39" s="2">
        <f>'WA Sch 25'!M130</f>
        <v>10997.513157894737</v>
      </c>
      <c r="L39" s="2">
        <f>'WA Sch 25'!N130</f>
        <v>10106.842105263158</v>
      </c>
      <c r="M39" s="2">
        <f>'WA Sch 25'!O130</f>
        <v>10562.177631578947</v>
      </c>
      <c r="N39" s="2">
        <f>'WA Sch 25'!P130</f>
        <v>8858.7828947368416</v>
      </c>
      <c r="O39" s="2">
        <f>'WA Sch 25'!Q130</f>
        <v>8924.8815789473683</v>
      </c>
      <c r="P39" s="2">
        <f t="shared" si="12"/>
        <v>118733.82906698565</v>
      </c>
      <c r="Q39" s="2"/>
      <c r="R39" s="150">
        <v>-1.52</v>
      </c>
      <c r="S39" s="3">
        <f t="shared" si="64"/>
        <v>-15965.126545454545</v>
      </c>
      <c r="T39" s="3">
        <f t="shared" si="65"/>
        <v>-14144.456727272727</v>
      </c>
      <c r="U39" s="3">
        <f t="shared" si="66"/>
        <v>-14042.906909090907</v>
      </c>
      <c r="V39" s="3">
        <f t="shared" si="67"/>
        <v>-11877.36</v>
      </c>
      <c r="W39" s="3">
        <f t="shared" si="68"/>
        <v>-18055.939999999999</v>
      </c>
      <c r="X39" s="3">
        <f t="shared" si="69"/>
        <v>-17435.34</v>
      </c>
      <c r="Y39" s="3">
        <f t="shared" si="70"/>
        <v>-13789.99</v>
      </c>
      <c r="Z39" s="3">
        <f t="shared" si="71"/>
        <v>-16716.22</v>
      </c>
      <c r="AA39" s="3">
        <f t="shared" si="72"/>
        <v>-15362.400000000001</v>
      </c>
      <c r="AB39" s="3">
        <f t="shared" si="73"/>
        <v>-16054.509999999998</v>
      </c>
      <c r="AC39" s="16">
        <f t="shared" si="74"/>
        <v>-13465.349999999999</v>
      </c>
      <c r="AD39" s="16">
        <f t="shared" si="75"/>
        <v>-13565.82</v>
      </c>
      <c r="AE39" s="3">
        <f t="shared" si="13"/>
        <v>-180475.42018181822</v>
      </c>
    </row>
    <row r="40" spans="1:31" x14ac:dyDescent="0.25">
      <c r="B40" t="s">
        <v>24</v>
      </c>
      <c r="D40" s="2">
        <f>'WA Sch 25'!F131</f>
        <v>54288.192857142858</v>
      </c>
      <c r="E40" s="2">
        <f>'WA Sch 25'!G131</f>
        <v>53425.750000000007</v>
      </c>
      <c r="F40" s="2">
        <f>'WA Sch 25'!H131</f>
        <v>50832.200000000004</v>
      </c>
      <c r="G40" s="2">
        <f>'WA Sch 25'!I131</f>
        <v>37604.290155440416</v>
      </c>
      <c r="H40" s="2">
        <f>'WA Sch 25'!J131</f>
        <v>52848</v>
      </c>
      <c r="I40" s="2">
        <f>'WA Sch 25'!K131</f>
        <v>53012.740932642489</v>
      </c>
      <c r="J40" s="2">
        <f>'WA Sch 25'!L131</f>
        <v>52725.632124352334</v>
      </c>
      <c r="K40" s="2">
        <f>'WA Sch 25'!M131</f>
        <v>54023.26943005182</v>
      </c>
      <c r="L40" s="2">
        <f>'WA Sch 25'!N131</f>
        <v>53086.611398963731</v>
      </c>
      <c r="M40" s="2">
        <f>'WA Sch 25'!O131</f>
        <v>52438.538860103632</v>
      </c>
      <c r="N40" s="2">
        <f>'WA Sch 25'!P131</f>
        <v>52283.699481865282</v>
      </c>
      <c r="O40" s="2">
        <f>'WA Sch 25'!Q131</f>
        <v>52970.47150259067</v>
      </c>
      <c r="P40" s="2">
        <f t="shared" si="12"/>
        <v>619539.39674315334</v>
      </c>
      <c r="Q40" s="2"/>
      <c r="R40" s="150">
        <v>-1.93</v>
      </c>
      <c r="S40" s="3">
        <f t="shared" si="64"/>
        <v>-104776.21221428571</v>
      </c>
      <c r="T40" s="3">
        <f t="shared" si="65"/>
        <v>-103111.69750000001</v>
      </c>
      <c r="U40" s="3">
        <f t="shared" si="66"/>
        <v>-98106.146000000008</v>
      </c>
      <c r="V40" s="3">
        <f t="shared" si="67"/>
        <v>-72576.28</v>
      </c>
      <c r="W40" s="3">
        <f t="shared" si="68"/>
        <v>-101996.64</v>
      </c>
      <c r="X40" s="3">
        <f t="shared" si="69"/>
        <v>-102314.59</v>
      </c>
      <c r="Y40" s="3">
        <f t="shared" si="70"/>
        <v>-101760.47</v>
      </c>
      <c r="Z40" s="3">
        <f t="shared" si="71"/>
        <v>-104264.91</v>
      </c>
      <c r="AA40" s="3">
        <f t="shared" si="72"/>
        <v>-102457.16</v>
      </c>
      <c r="AB40" s="3">
        <f t="shared" si="73"/>
        <v>-101206.38</v>
      </c>
      <c r="AC40" s="16">
        <f t="shared" si="74"/>
        <v>-100907.54</v>
      </c>
      <c r="AD40" s="16">
        <f t="shared" si="75"/>
        <v>-102233.01</v>
      </c>
      <c r="AE40" s="3">
        <f t="shared" si="13"/>
        <v>-1195711.0357142857</v>
      </c>
    </row>
    <row r="41" spans="1:31" x14ac:dyDescent="0.25">
      <c r="A41" t="s">
        <v>44</v>
      </c>
      <c r="B41" t="s">
        <v>14</v>
      </c>
      <c r="D41" s="8">
        <v>51</v>
      </c>
      <c r="E41" s="8">
        <v>52</v>
      </c>
      <c r="F41" s="8">
        <v>51</v>
      </c>
      <c r="G41" s="8">
        <v>54</v>
      </c>
      <c r="H41" s="8">
        <v>52</v>
      </c>
      <c r="I41" s="8">
        <v>52</v>
      </c>
      <c r="J41" s="8">
        <v>53</v>
      </c>
      <c r="K41" s="8">
        <v>60</v>
      </c>
      <c r="L41" s="8">
        <v>55</v>
      </c>
      <c r="M41" s="8">
        <v>54</v>
      </c>
      <c r="N41" s="8">
        <v>55</v>
      </c>
      <c r="O41" s="8">
        <v>55</v>
      </c>
      <c r="P41" s="2">
        <f t="shared" si="12"/>
        <v>644</v>
      </c>
      <c r="Q41" s="2"/>
      <c r="R41" s="150">
        <v>20</v>
      </c>
      <c r="S41" s="3">
        <f t="shared" ref="S41:AD42" si="76">$R41*D41</f>
        <v>1020</v>
      </c>
      <c r="T41" s="3">
        <f t="shared" si="76"/>
        <v>1040</v>
      </c>
      <c r="U41" s="3">
        <f t="shared" si="76"/>
        <v>1020</v>
      </c>
      <c r="V41" s="3">
        <f t="shared" si="76"/>
        <v>1080</v>
      </c>
      <c r="W41" s="3">
        <f t="shared" si="76"/>
        <v>1040</v>
      </c>
      <c r="X41" s="3">
        <f t="shared" si="76"/>
        <v>1040</v>
      </c>
      <c r="Y41" s="3">
        <f t="shared" si="76"/>
        <v>1060</v>
      </c>
      <c r="Z41" s="3">
        <f t="shared" si="76"/>
        <v>1200</v>
      </c>
      <c r="AA41" s="3">
        <f t="shared" si="76"/>
        <v>1100</v>
      </c>
      <c r="AB41" s="3">
        <f t="shared" si="76"/>
        <v>1080</v>
      </c>
      <c r="AC41" s="16">
        <f t="shared" si="76"/>
        <v>1100</v>
      </c>
      <c r="AD41" s="16">
        <f t="shared" si="76"/>
        <v>1100</v>
      </c>
      <c r="AE41" s="3">
        <f t="shared" si="13"/>
        <v>12880</v>
      </c>
    </row>
    <row r="42" spans="1:31" x14ac:dyDescent="0.25">
      <c r="B42" t="s">
        <v>17</v>
      </c>
      <c r="D42" s="8">
        <v>6852.2960000000003</v>
      </c>
      <c r="E42" s="8">
        <v>8788.866</v>
      </c>
      <c r="F42" s="8">
        <v>55744.063000000002</v>
      </c>
      <c r="G42" s="8">
        <v>2212038.2590000001</v>
      </c>
      <c r="H42" s="8">
        <v>4050855.2850000001</v>
      </c>
      <c r="I42" s="8">
        <v>4891376.449</v>
      </c>
      <c r="J42" s="8">
        <v>5634219.6059999997</v>
      </c>
      <c r="K42" s="8">
        <v>6674745.9630000005</v>
      </c>
      <c r="L42" s="8">
        <v>5689011.0719999997</v>
      </c>
      <c r="M42" s="8">
        <v>3286472.5120000001</v>
      </c>
      <c r="N42" s="8">
        <v>319130.81900000002</v>
      </c>
      <c r="O42" s="8">
        <v>20397.651999999998</v>
      </c>
      <c r="P42" s="2">
        <f t="shared" si="12"/>
        <v>32849632.841999996</v>
      </c>
      <c r="Q42" s="2"/>
      <c r="R42" s="151">
        <v>7.7909999999999993E-2</v>
      </c>
      <c r="S42" s="3">
        <f t="shared" si="76"/>
        <v>533.86238135999997</v>
      </c>
      <c r="T42" s="3">
        <f t="shared" si="76"/>
        <v>684.74055005999992</v>
      </c>
      <c r="U42" s="3">
        <f t="shared" si="76"/>
        <v>4343.0199483299994</v>
      </c>
      <c r="V42" s="3">
        <f t="shared" si="76"/>
        <v>172339.90075869</v>
      </c>
      <c r="W42" s="3">
        <f t="shared" si="76"/>
        <v>315602.13525434997</v>
      </c>
      <c r="X42" s="3">
        <f t="shared" si="76"/>
        <v>381087.13914158999</v>
      </c>
      <c r="Y42" s="3">
        <f t="shared" si="76"/>
        <v>438962.04950345994</v>
      </c>
      <c r="Z42" s="3">
        <f t="shared" si="76"/>
        <v>520029.45797732996</v>
      </c>
      <c r="AA42" s="3">
        <f t="shared" si="76"/>
        <v>443230.85261951992</v>
      </c>
      <c r="AB42" s="3">
        <f t="shared" si="76"/>
        <v>256049.07340991998</v>
      </c>
      <c r="AC42" s="16">
        <f t="shared" si="76"/>
        <v>24863.482108289998</v>
      </c>
      <c r="AD42" s="16">
        <f t="shared" si="76"/>
        <v>1589.1810673199998</v>
      </c>
      <c r="AE42" s="3">
        <f t="shared" si="13"/>
        <v>2559314.8947202195</v>
      </c>
    </row>
    <row r="43" spans="1:31" x14ac:dyDescent="0.25">
      <c r="B43" t="s">
        <v>20</v>
      </c>
      <c r="D43" s="11">
        <f>D140/D141</f>
        <v>0</v>
      </c>
      <c r="E43" s="11">
        <f t="shared" ref="E43:O43" si="77">E140/E141</f>
        <v>0</v>
      </c>
      <c r="F43" s="11">
        <f t="shared" si="77"/>
        <v>0</v>
      </c>
      <c r="G43" s="11">
        <f t="shared" si="77"/>
        <v>0</v>
      </c>
      <c r="H43" s="11">
        <f t="shared" si="77"/>
        <v>0</v>
      </c>
      <c r="I43" s="11">
        <f t="shared" si="77"/>
        <v>0</v>
      </c>
      <c r="J43" s="11">
        <f t="shared" si="77"/>
        <v>0</v>
      </c>
      <c r="K43" s="11">
        <f t="shared" si="77"/>
        <v>0</v>
      </c>
      <c r="L43" s="11">
        <f t="shared" si="77"/>
        <v>0</v>
      </c>
      <c r="M43" s="11">
        <f t="shared" si="77"/>
        <v>0</v>
      </c>
      <c r="N43" s="11">
        <f t="shared" si="77"/>
        <v>0</v>
      </c>
      <c r="O43" s="11">
        <f t="shared" si="77"/>
        <v>0</v>
      </c>
      <c r="P43" s="2">
        <f t="shared" si="12"/>
        <v>0</v>
      </c>
      <c r="Q43" s="2"/>
      <c r="R43" s="150">
        <v>0.5</v>
      </c>
      <c r="S43" s="3">
        <f t="shared" ref="S43" si="78">$R43*D43</f>
        <v>0</v>
      </c>
      <c r="T43" s="3">
        <f t="shared" ref="T43" si="79">$R43*E43</f>
        <v>0</v>
      </c>
      <c r="U43" s="3">
        <f t="shared" ref="U43" si="80">$R43*F43</f>
        <v>0</v>
      </c>
      <c r="V43" s="3">
        <f t="shared" ref="V43" si="81">$R43*G43</f>
        <v>0</v>
      </c>
      <c r="W43" s="3">
        <f t="shared" ref="W43" si="82">$R43*H43</f>
        <v>0</v>
      </c>
      <c r="X43" s="3">
        <f t="shared" ref="X43" si="83">$R43*I43</f>
        <v>0</v>
      </c>
      <c r="Y43" s="3">
        <f t="shared" ref="Y43" si="84">$R43*J43</f>
        <v>0</v>
      </c>
      <c r="Z43" s="3">
        <f t="shared" ref="Z43" si="85">$R43*K43</f>
        <v>0</v>
      </c>
      <c r="AA43" s="3">
        <f t="shared" ref="AA43" si="86">$R43*L43</f>
        <v>0</v>
      </c>
      <c r="AB43" s="3">
        <f t="shared" ref="AB43" si="87">$R43*M43</f>
        <v>0</v>
      </c>
      <c r="AC43" s="16">
        <f t="shared" ref="AC43" si="88">$R43*N43</f>
        <v>0</v>
      </c>
      <c r="AD43" s="16">
        <f t="shared" ref="AD43" si="89">$R43*O43</f>
        <v>0</v>
      </c>
      <c r="AE43" s="3">
        <f t="shared" si="13"/>
        <v>0</v>
      </c>
    </row>
    <row r="44" spans="1:31" x14ac:dyDescent="0.25">
      <c r="A44" t="s">
        <v>41</v>
      </c>
      <c r="B44" t="s">
        <v>14</v>
      </c>
      <c r="D44" s="8">
        <v>1215</v>
      </c>
      <c r="E44" s="8">
        <v>1160</v>
      </c>
      <c r="F44" s="8">
        <v>1201</v>
      </c>
      <c r="G44" s="8">
        <v>1209</v>
      </c>
      <c r="H44" s="8">
        <v>1174</v>
      </c>
      <c r="I44" s="8">
        <v>1243</v>
      </c>
      <c r="J44" s="8">
        <v>1209</v>
      </c>
      <c r="K44" s="8">
        <v>1209</v>
      </c>
      <c r="L44" s="8">
        <v>1228</v>
      </c>
      <c r="M44" s="8">
        <v>1221</v>
      </c>
      <c r="N44" s="8">
        <v>1229</v>
      </c>
      <c r="O44" s="8">
        <v>1234</v>
      </c>
      <c r="P44" s="2">
        <f t="shared" si="12"/>
        <v>14532</v>
      </c>
      <c r="Q44" s="2"/>
      <c r="R44" s="150">
        <v>20</v>
      </c>
      <c r="S44" s="3">
        <f t="shared" ref="S44:AD47" si="90">$R44*D44</f>
        <v>24300</v>
      </c>
      <c r="T44" s="3">
        <f t="shared" si="90"/>
        <v>23200</v>
      </c>
      <c r="U44" s="3">
        <f t="shared" si="90"/>
        <v>24020</v>
      </c>
      <c r="V44" s="3">
        <f t="shared" si="90"/>
        <v>24180</v>
      </c>
      <c r="W44" s="3">
        <f t="shared" si="90"/>
        <v>23480</v>
      </c>
      <c r="X44" s="3">
        <f t="shared" si="90"/>
        <v>24860</v>
      </c>
      <c r="Y44" s="3">
        <f t="shared" si="90"/>
        <v>24180</v>
      </c>
      <c r="Z44" s="3">
        <f t="shared" si="90"/>
        <v>24180</v>
      </c>
      <c r="AA44" s="3">
        <f t="shared" si="90"/>
        <v>24560</v>
      </c>
      <c r="AB44" s="3">
        <f t="shared" si="90"/>
        <v>24420</v>
      </c>
      <c r="AC44" s="16">
        <f t="shared" si="90"/>
        <v>24580</v>
      </c>
      <c r="AD44" s="16">
        <f t="shared" si="90"/>
        <v>24680</v>
      </c>
      <c r="AE44" s="3">
        <f t="shared" si="13"/>
        <v>290640</v>
      </c>
    </row>
    <row r="45" spans="1:31" x14ac:dyDescent="0.25">
      <c r="B45" t="s">
        <v>15</v>
      </c>
      <c r="D45" s="8">
        <v>1727058.00483</v>
      </c>
      <c r="E45" s="8">
        <v>1493943.5196700001</v>
      </c>
      <c r="F45" s="8">
        <v>1661841.6220100001</v>
      </c>
      <c r="G45" s="8">
        <v>2283960.9660499999</v>
      </c>
      <c r="H45" s="8">
        <v>2726625.24498</v>
      </c>
      <c r="I45" s="8">
        <v>3673580.70267</v>
      </c>
      <c r="J45" s="8">
        <v>3844673.4140099999</v>
      </c>
      <c r="K45" s="8">
        <v>4508481.5456699999</v>
      </c>
      <c r="L45" s="8">
        <v>4510155.0773400003</v>
      </c>
      <c r="M45" s="8">
        <v>3371252.2793399999</v>
      </c>
      <c r="N45" s="8">
        <v>2037278.9595000001</v>
      </c>
      <c r="O45" s="8">
        <v>1527927.5853299999</v>
      </c>
      <c r="P45" s="2">
        <f t="shared" si="12"/>
        <v>33366778.921399996</v>
      </c>
      <c r="Q45" s="2"/>
      <c r="R45" s="151">
        <v>0.10732999999999999</v>
      </c>
      <c r="S45" s="3">
        <f t="shared" si="90"/>
        <v>185365.13565840389</v>
      </c>
      <c r="T45" s="3">
        <f t="shared" si="90"/>
        <v>160344.9579661811</v>
      </c>
      <c r="U45" s="3">
        <f t="shared" si="90"/>
        <v>178365.4612903333</v>
      </c>
      <c r="V45" s="3">
        <f t="shared" si="90"/>
        <v>245137.53048614648</v>
      </c>
      <c r="W45" s="3">
        <f t="shared" si="90"/>
        <v>292648.68754370336</v>
      </c>
      <c r="X45" s="3">
        <f t="shared" si="90"/>
        <v>394285.41681757109</v>
      </c>
      <c r="Y45" s="3">
        <f t="shared" si="90"/>
        <v>412648.79752569326</v>
      </c>
      <c r="Z45" s="3">
        <f t="shared" si="90"/>
        <v>483895.32429676107</v>
      </c>
      <c r="AA45" s="3">
        <f t="shared" si="90"/>
        <v>484074.94445090223</v>
      </c>
      <c r="AB45" s="3">
        <f t="shared" si="90"/>
        <v>361836.50714156218</v>
      </c>
      <c r="AC45" s="16">
        <f t="shared" si="90"/>
        <v>218661.15072313501</v>
      </c>
      <c r="AD45" s="16">
        <f t="shared" si="90"/>
        <v>163992.46773346889</v>
      </c>
      <c r="AE45" s="3">
        <f t="shared" si="13"/>
        <v>3581256.3816338615</v>
      </c>
    </row>
    <row r="46" spans="1:31" x14ac:dyDescent="0.25">
      <c r="B46" t="s">
        <v>16</v>
      </c>
      <c r="D46" s="8">
        <v>416819.72266999999</v>
      </c>
      <c r="E46" s="8">
        <v>390524.12732999999</v>
      </c>
      <c r="F46" s="8">
        <v>410736.18965999997</v>
      </c>
      <c r="G46" s="8">
        <v>604817.05510999996</v>
      </c>
      <c r="H46" s="8">
        <v>961957.44233999995</v>
      </c>
      <c r="I46" s="8">
        <v>1126140.2066599999</v>
      </c>
      <c r="J46" s="8">
        <v>1255855.0234900001</v>
      </c>
      <c r="K46" s="8">
        <v>1428357.98</v>
      </c>
      <c r="L46" s="8">
        <v>1423797.763</v>
      </c>
      <c r="M46" s="8">
        <v>824706.96366000001</v>
      </c>
      <c r="N46" s="8">
        <v>419003.56800000003</v>
      </c>
      <c r="O46" s="8">
        <v>422784.01467</v>
      </c>
      <c r="P46" s="2">
        <f t="shared" si="12"/>
        <v>9685500.0565900002</v>
      </c>
      <c r="Q46" s="2"/>
      <c r="R46" s="151">
        <v>0.10732999999999999</v>
      </c>
      <c r="S46" s="3">
        <f t="shared" si="90"/>
        <v>44737.260834171095</v>
      </c>
      <c r="T46" s="3">
        <f t="shared" si="90"/>
        <v>41914.954586328895</v>
      </c>
      <c r="U46" s="3">
        <f t="shared" si="90"/>
        <v>44084.315236207796</v>
      </c>
      <c r="V46" s="3">
        <f t="shared" si="90"/>
        <v>64915.014524956292</v>
      </c>
      <c r="W46" s="3">
        <f t="shared" si="90"/>
        <v>103246.89228635219</v>
      </c>
      <c r="X46" s="3">
        <f t="shared" si="90"/>
        <v>120868.62838081778</v>
      </c>
      <c r="Y46" s="3">
        <f t="shared" si="90"/>
        <v>134790.91967118171</v>
      </c>
      <c r="Z46" s="3">
        <f t="shared" si="90"/>
        <v>153305.66199339999</v>
      </c>
      <c r="AA46" s="3">
        <f t="shared" si="90"/>
        <v>152816.21390278998</v>
      </c>
      <c r="AB46" s="3">
        <f t="shared" si="90"/>
        <v>88515.798409627794</v>
      </c>
      <c r="AC46" s="16">
        <f t="shared" si="90"/>
        <v>44971.652953440003</v>
      </c>
      <c r="AD46" s="16">
        <f t="shared" si="90"/>
        <v>45377.408294531095</v>
      </c>
      <c r="AE46" s="3">
        <f t="shared" si="13"/>
        <v>1039544.7210738044</v>
      </c>
    </row>
    <row r="47" spans="1:31" x14ac:dyDescent="0.25">
      <c r="B47" t="s">
        <v>17</v>
      </c>
      <c r="D47" s="8">
        <v>1938764.3075000001</v>
      </c>
      <c r="E47" s="8">
        <v>1781907.2180000001</v>
      </c>
      <c r="F47" s="8">
        <v>1855696.76333</v>
      </c>
      <c r="G47" s="8">
        <v>1697964.9910599999</v>
      </c>
      <c r="H47" s="8">
        <v>3296471.64769</v>
      </c>
      <c r="I47" s="8">
        <v>5729018.0466700001</v>
      </c>
      <c r="J47" s="8">
        <v>7888662.6935000001</v>
      </c>
      <c r="K47" s="8">
        <v>12589154.068329999</v>
      </c>
      <c r="L47" s="8">
        <v>12778482.16766</v>
      </c>
      <c r="M47" s="8">
        <v>6433874.9790000003</v>
      </c>
      <c r="N47" s="8">
        <v>2129171.2004999998</v>
      </c>
      <c r="O47" s="8">
        <v>2025452.3130000001</v>
      </c>
      <c r="P47" s="2">
        <f t="shared" si="12"/>
        <v>60144620.396239996</v>
      </c>
      <c r="Q47" s="2"/>
      <c r="R47" s="151">
        <v>7.7909999999999993E-2</v>
      </c>
      <c r="S47" s="3">
        <f t="shared" si="90"/>
        <v>151049.127197325</v>
      </c>
      <c r="T47" s="3">
        <f t="shared" si="90"/>
        <v>138828.39135438</v>
      </c>
      <c r="U47" s="3">
        <f t="shared" si="90"/>
        <v>144577.33483104029</v>
      </c>
      <c r="V47" s="3">
        <f t="shared" si="90"/>
        <v>132288.45245348458</v>
      </c>
      <c r="W47" s="3">
        <f t="shared" si="90"/>
        <v>256828.10607152787</v>
      </c>
      <c r="X47" s="3">
        <f t="shared" si="90"/>
        <v>446347.79601605964</v>
      </c>
      <c r="Y47" s="3">
        <f t="shared" si="90"/>
        <v>614605.710450585</v>
      </c>
      <c r="Z47" s="3">
        <f t="shared" si="90"/>
        <v>980820.99346359016</v>
      </c>
      <c r="AA47" s="3">
        <f t="shared" si="90"/>
        <v>995571.54568239045</v>
      </c>
      <c r="AB47" s="3">
        <f t="shared" si="90"/>
        <v>501263.19961388997</v>
      </c>
      <c r="AC47" s="16">
        <f t="shared" si="90"/>
        <v>165883.72823095496</v>
      </c>
      <c r="AD47" s="16">
        <f t="shared" si="90"/>
        <v>157802.98970583</v>
      </c>
      <c r="AE47" s="3">
        <f t="shared" si="13"/>
        <v>4685867.3750710571</v>
      </c>
    </row>
    <row r="48" spans="1:31" x14ac:dyDescent="0.25">
      <c r="B48" t="s">
        <v>20</v>
      </c>
      <c r="D48" s="11">
        <f>D143/D144</f>
        <v>0</v>
      </c>
      <c r="E48" s="11">
        <f t="shared" ref="E48:O48" si="91">E143/E144</f>
        <v>0</v>
      </c>
      <c r="F48" s="11">
        <f t="shared" si="91"/>
        <v>0</v>
      </c>
      <c r="G48" s="11">
        <f t="shared" si="91"/>
        <v>0</v>
      </c>
      <c r="H48" s="11">
        <f t="shared" si="91"/>
        <v>0</v>
      </c>
      <c r="I48" s="11">
        <f t="shared" si="91"/>
        <v>0</v>
      </c>
      <c r="J48" s="11">
        <f t="shared" si="91"/>
        <v>0</v>
      </c>
      <c r="K48" s="11">
        <f t="shared" si="91"/>
        <v>0</v>
      </c>
      <c r="L48" s="11">
        <f t="shared" si="91"/>
        <v>0</v>
      </c>
      <c r="M48" s="11">
        <f t="shared" si="91"/>
        <v>0</v>
      </c>
      <c r="N48" s="11">
        <f t="shared" si="91"/>
        <v>0</v>
      </c>
      <c r="O48" s="11">
        <f t="shared" si="91"/>
        <v>0</v>
      </c>
      <c r="P48" s="2">
        <f t="shared" si="12"/>
        <v>0</v>
      </c>
      <c r="Q48" s="2"/>
      <c r="R48" s="150">
        <v>0.5</v>
      </c>
      <c r="S48" s="3">
        <f t="shared" ref="S48" si="92">$R48*D48</f>
        <v>0</v>
      </c>
      <c r="T48" s="3">
        <f t="shared" ref="T48" si="93">$R48*E48</f>
        <v>0</v>
      </c>
      <c r="U48" s="3">
        <f t="shared" ref="U48" si="94">$R48*F48</f>
        <v>0</v>
      </c>
      <c r="V48" s="3">
        <f t="shared" ref="V48" si="95">$R48*G48</f>
        <v>0</v>
      </c>
      <c r="W48" s="3">
        <f t="shared" ref="W48" si="96">$R48*H48</f>
        <v>0</v>
      </c>
      <c r="X48" s="3">
        <f t="shared" ref="X48" si="97">$R48*I48</f>
        <v>0</v>
      </c>
      <c r="Y48" s="3">
        <f t="shared" ref="Y48" si="98">$R48*J48</f>
        <v>0</v>
      </c>
      <c r="Z48" s="3">
        <f t="shared" ref="Z48" si="99">$R48*K48</f>
        <v>0</v>
      </c>
      <c r="AA48" s="3">
        <f t="shared" ref="AA48" si="100">$R48*L48</f>
        <v>0</v>
      </c>
      <c r="AB48" s="3">
        <f t="shared" ref="AB48" si="101">$R48*M48</f>
        <v>0</v>
      </c>
      <c r="AC48" s="16">
        <f t="shared" ref="AC48" si="102">$R48*N48</f>
        <v>0</v>
      </c>
      <c r="AD48" s="16">
        <f t="shared" ref="AD48" si="103">$R48*O48</f>
        <v>0</v>
      </c>
      <c r="AE48" s="3">
        <f t="shared" si="13"/>
        <v>0</v>
      </c>
    </row>
    <row r="49" spans="1:32" x14ac:dyDescent="0.25">
      <c r="A49" t="s">
        <v>42</v>
      </c>
      <c r="B49" t="s">
        <v>14</v>
      </c>
      <c r="D49" s="8">
        <v>1235</v>
      </c>
      <c r="E49" s="8">
        <v>1191</v>
      </c>
      <c r="F49" s="8">
        <v>1233</v>
      </c>
      <c r="G49" s="8">
        <v>1216</v>
      </c>
      <c r="H49" s="8">
        <v>1196</v>
      </c>
      <c r="I49" s="8">
        <v>1204</v>
      </c>
      <c r="J49" s="8">
        <v>1231</v>
      </c>
      <c r="K49" s="8">
        <v>1218</v>
      </c>
      <c r="L49" s="8">
        <v>1223</v>
      </c>
      <c r="M49" s="8">
        <v>1215</v>
      </c>
      <c r="N49" s="8">
        <v>1272</v>
      </c>
      <c r="O49" s="8">
        <v>1244</v>
      </c>
      <c r="P49" s="2">
        <f t="shared" si="12"/>
        <v>14678</v>
      </c>
      <c r="Q49" s="2"/>
      <c r="R49" s="150">
        <v>20</v>
      </c>
      <c r="S49" s="3">
        <f t="shared" ref="S49:AD52" si="104">$R49*D49</f>
        <v>24700</v>
      </c>
      <c r="T49" s="3">
        <f t="shared" si="104"/>
        <v>23820</v>
      </c>
      <c r="U49" s="3">
        <f t="shared" si="104"/>
        <v>24660</v>
      </c>
      <c r="V49" s="3">
        <f t="shared" si="104"/>
        <v>24320</v>
      </c>
      <c r="W49" s="3">
        <f t="shared" si="104"/>
        <v>23920</v>
      </c>
      <c r="X49" s="3">
        <f t="shared" si="104"/>
        <v>24080</v>
      </c>
      <c r="Y49" s="3">
        <f t="shared" si="104"/>
        <v>24620</v>
      </c>
      <c r="Z49" s="3">
        <f t="shared" si="104"/>
        <v>24360</v>
      </c>
      <c r="AA49" s="3">
        <f t="shared" si="104"/>
        <v>24460</v>
      </c>
      <c r="AB49" s="3">
        <f t="shared" si="104"/>
        <v>24300</v>
      </c>
      <c r="AC49" s="16">
        <f t="shared" si="104"/>
        <v>25440</v>
      </c>
      <c r="AD49" s="16">
        <f t="shared" si="104"/>
        <v>24880</v>
      </c>
      <c r="AE49" s="3">
        <f t="shared" si="13"/>
        <v>293560</v>
      </c>
    </row>
    <row r="50" spans="1:32" x14ac:dyDescent="0.25">
      <c r="B50" t="s">
        <v>15</v>
      </c>
      <c r="D50" s="8">
        <v>125724.32233</v>
      </c>
      <c r="E50" s="8">
        <v>117801.77767</v>
      </c>
      <c r="F50" s="8">
        <v>117861.50834</v>
      </c>
      <c r="G50" s="8">
        <v>210792.26186999999</v>
      </c>
      <c r="H50" s="8">
        <v>289973.76566999999</v>
      </c>
      <c r="I50" s="8">
        <v>289423.66132999997</v>
      </c>
      <c r="J50" s="8">
        <v>387130.50800999999</v>
      </c>
      <c r="K50" s="8">
        <v>523319.24251000001</v>
      </c>
      <c r="L50" s="8">
        <v>483593.75449999998</v>
      </c>
      <c r="M50" s="8">
        <v>308814.08199999999</v>
      </c>
      <c r="N50" s="8">
        <v>163171.33433000001</v>
      </c>
      <c r="O50" s="8">
        <v>129845.87132000001</v>
      </c>
      <c r="P50" s="2">
        <f t="shared" si="12"/>
        <v>3147452.0898799999</v>
      </c>
      <c r="Q50" s="2"/>
      <c r="R50" s="151">
        <v>0.10347000000000001</v>
      </c>
      <c r="S50" s="3">
        <f t="shared" si="104"/>
        <v>13008.6956314851</v>
      </c>
      <c r="T50" s="3">
        <f t="shared" si="104"/>
        <v>12188.9499355149</v>
      </c>
      <c r="U50" s="3">
        <f t="shared" si="104"/>
        <v>12195.130267939801</v>
      </c>
      <c r="V50" s="3">
        <f t="shared" si="104"/>
        <v>21810.675335688898</v>
      </c>
      <c r="W50" s="3">
        <f t="shared" si="104"/>
        <v>30003.585533874902</v>
      </c>
      <c r="X50" s="3">
        <f t="shared" si="104"/>
        <v>29946.666237815098</v>
      </c>
      <c r="Y50" s="3">
        <f t="shared" si="104"/>
        <v>40056.393663794704</v>
      </c>
      <c r="Z50" s="3">
        <f t="shared" si="104"/>
        <v>54147.842022509707</v>
      </c>
      <c r="AA50" s="3">
        <f t="shared" si="104"/>
        <v>50037.445778114998</v>
      </c>
      <c r="AB50" s="3">
        <f t="shared" si="104"/>
        <v>31952.993064540002</v>
      </c>
      <c r="AC50" s="16">
        <f t="shared" si="104"/>
        <v>16883.337963125101</v>
      </c>
      <c r="AD50" s="16">
        <f t="shared" si="104"/>
        <v>13435.152305480402</v>
      </c>
      <c r="AE50" s="3">
        <f t="shared" si="13"/>
        <v>325666.86773988366</v>
      </c>
    </row>
    <row r="51" spans="1:32" x14ac:dyDescent="0.25">
      <c r="B51" t="s">
        <v>16</v>
      </c>
      <c r="D51" s="8">
        <v>67171.892670000001</v>
      </c>
      <c r="E51" s="8">
        <v>61024.70433</v>
      </c>
      <c r="F51" s="8">
        <v>58709.127659999998</v>
      </c>
      <c r="G51" s="8">
        <v>94358.890299999999</v>
      </c>
      <c r="H51" s="8">
        <v>142035.37833000001</v>
      </c>
      <c r="I51" s="8">
        <v>141077.14567</v>
      </c>
      <c r="J51" s="8">
        <v>200713.43599</v>
      </c>
      <c r="K51" s="8">
        <v>342372.57766000001</v>
      </c>
      <c r="L51" s="8">
        <v>309701.65000000002</v>
      </c>
      <c r="M51" s="8">
        <v>126799.32799999999</v>
      </c>
      <c r="N51" s="8">
        <v>65939.326669999995</v>
      </c>
      <c r="O51" s="8">
        <v>73445.933680000002</v>
      </c>
      <c r="P51" s="2">
        <f t="shared" si="12"/>
        <v>1683349.3909600002</v>
      </c>
      <c r="Q51" s="2"/>
      <c r="R51" s="151">
        <v>0.10347000000000001</v>
      </c>
      <c r="S51" s="3">
        <f t="shared" si="104"/>
        <v>6950.2757345649006</v>
      </c>
      <c r="T51" s="3">
        <f t="shared" si="104"/>
        <v>6314.2261570251003</v>
      </c>
      <c r="U51" s="3">
        <f t="shared" si="104"/>
        <v>6074.6334389802005</v>
      </c>
      <c r="V51" s="3">
        <f t="shared" si="104"/>
        <v>9763.3143793409999</v>
      </c>
      <c r="W51" s="3">
        <f t="shared" si="104"/>
        <v>14696.400595805102</v>
      </c>
      <c r="X51" s="3">
        <f t="shared" si="104"/>
        <v>14597.2522624749</v>
      </c>
      <c r="Y51" s="3">
        <f t="shared" si="104"/>
        <v>20767.8192218853</v>
      </c>
      <c r="Z51" s="3">
        <f t="shared" si="104"/>
        <v>35425.290610480202</v>
      </c>
      <c r="AA51" s="3">
        <f t="shared" si="104"/>
        <v>32044.829725500003</v>
      </c>
      <c r="AB51" s="3">
        <f t="shared" si="104"/>
        <v>13119.92646816</v>
      </c>
      <c r="AC51" s="16">
        <f t="shared" si="104"/>
        <v>6822.7421305448997</v>
      </c>
      <c r="AD51" s="16">
        <f t="shared" si="104"/>
        <v>7599.4507578696002</v>
      </c>
      <c r="AE51" s="3">
        <f t="shared" si="13"/>
        <v>174176.16148263123</v>
      </c>
    </row>
    <row r="52" spans="1:32" x14ac:dyDescent="0.25">
      <c r="B52" t="s">
        <v>17</v>
      </c>
      <c r="D52" s="8">
        <v>136429.26800000001</v>
      </c>
      <c r="E52" s="8">
        <v>118869.48699999999</v>
      </c>
      <c r="F52" s="8">
        <v>110372.969</v>
      </c>
      <c r="G52" s="8">
        <v>175889.69091999999</v>
      </c>
      <c r="H52" s="8">
        <v>264433.98499999999</v>
      </c>
      <c r="I52" s="8">
        <v>268318.76500000001</v>
      </c>
      <c r="J52" s="8">
        <v>532649.14801</v>
      </c>
      <c r="K52" s="8">
        <v>1014708.18883</v>
      </c>
      <c r="L52" s="8">
        <v>688515.88150000002</v>
      </c>
      <c r="M52" s="8">
        <v>208005.432</v>
      </c>
      <c r="N52" s="8">
        <v>103985.855</v>
      </c>
      <c r="O52" s="8">
        <v>120259.75</v>
      </c>
      <c r="P52" s="2">
        <f t="shared" si="12"/>
        <v>3742438.42026</v>
      </c>
      <c r="Q52" s="2"/>
      <c r="R52" s="151">
        <v>7.4050000000000005E-2</v>
      </c>
      <c r="S52" s="3">
        <f t="shared" si="104"/>
        <v>10102.587295400001</v>
      </c>
      <c r="T52" s="3">
        <f t="shared" si="104"/>
        <v>8802.2855123499994</v>
      </c>
      <c r="U52" s="3">
        <f t="shared" si="104"/>
        <v>8173.11835445</v>
      </c>
      <c r="V52" s="3">
        <f t="shared" si="104"/>
        <v>13024.631612626001</v>
      </c>
      <c r="W52" s="3">
        <f t="shared" si="104"/>
        <v>19581.336589250001</v>
      </c>
      <c r="X52" s="3">
        <f t="shared" si="104"/>
        <v>19869.004548250003</v>
      </c>
      <c r="Y52" s="3">
        <f t="shared" si="104"/>
        <v>39442.669410140501</v>
      </c>
      <c r="Z52" s="3">
        <f t="shared" si="104"/>
        <v>75139.141382861504</v>
      </c>
      <c r="AA52" s="3">
        <f t="shared" si="104"/>
        <v>50984.601025075004</v>
      </c>
      <c r="AB52" s="3">
        <f t="shared" si="104"/>
        <v>15402.802239600001</v>
      </c>
      <c r="AC52" s="16">
        <f t="shared" si="104"/>
        <v>7700.1525627500005</v>
      </c>
      <c r="AD52" s="16">
        <f t="shared" si="104"/>
        <v>8905.2344874999999</v>
      </c>
      <c r="AE52" s="3">
        <f t="shared" si="13"/>
        <v>277127.56502025295</v>
      </c>
    </row>
    <row r="53" spans="1:32" x14ac:dyDescent="0.25">
      <c r="B53" t="s">
        <v>20</v>
      </c>
      <c r="D53" s="11">
        <f>D146/D147</f>
        <v>0</v>
      </c>
      <c r="E53" s="11">
        <f t="shared" ref="E53:O53" si="105">E146/E147</f>
        <v>0</v>
      </c>
      <c r="F53" s="11">
        <f t="shared" si="105"/>
        <v>0</v>
      </c>
      <c r="G53" s="11">
        <f t="shared" si="105"/>
        <v>0</v>
      </c>
      <c r="H53" s="11">
        <f t="shared" si="105"/>
        <v>0</v>
      </c>
      <c r="I53" s="11">
        <f t="shared" si="105"/>
        <v>0</v>
      </c>
      <c r="J53" s="11">
        <f t="shared" si="105"/>
        <v>0</v>
      </c>
      <c r="K53" s="11">
        <f t="shared" si="105"/>
        <v>0</v>
      </c>
      <c r="L53" s="11">
        <f t="shared" si="105"/>
        <v>0</v>
      </c>
      <c r="M53" s="11">
        <f t="shared" si="105"/>
        <v>0</v>
      </c>
      <c r="N53" s="11">
        <f t="shared" si="105"/>
        <v>0</v>
      </c>
      <c r="O53" s="11">
        <f t="shared" si="105"/>
        <v>0</v>
      </c>
      <c r="P53" s="2">
        <f t="shared" si="12"/>
        <v>0</v>
      </c>
      <c r="Q53" s="2"/>
      <c r="R53" s="150">
        <v>0.5</v>
      </c>
      <c r="S53" s="3">
        <f t="shared" ref="S53" si="106">$R53*D53</f>
        <v>0</v>
      </c>
      <c r="T53" s="3">
        <f t="shared" ref="T53" si="107">$R53*E53</f>
        <v>0</v>
      </c>
      <c r="U53" s="3">
        <f t="shared" ref="U53" si="108">$R53*F53</f>
        <v>0</v>
      </c>
      <c r="V53" s="3">
        <f t="shared" ref="V53" si="109">$R53*G53</f>
        <v>0</v>
      </c>
      <c r="W53" s="3">
        <f t="shared" ref="W53" si="110">$R53*H53</f>
        <v>0</v>
      </c>
      <c r="X53" s="3">
        <f t="shared" ref="X53" si="111">$R53*I53</f>
        <v>0</v>
      </c>
      <c r="Y53" s="3">
        <f t="shared" ref="Y53" si="112">$R53*J53</f>
        <v>0</v>
      </c>
      <c r="Z53" s="3">
        <f t="shared" ref="Z53" si="113">$R53*K53</f>
        <v>0</v>
      </c>
      <c r="AA53" s="3">
        <f t="shared" ref="AA53" si="114">$R53*L53</f>
        <v>0</v>
      </c>
      <c r="AB53" s="3">
        <f t="shared" ref="AB53" si="115">$R53*M53</f>
        <v>0</v>
      </c>
      <c r="AC53" s="16">
        <f t="shared" ref="AC53" si="116">$R53*N53</f>
        <v>0</v>
      </c>
      <c r="AD53" s="16">
        <f t="shared" ref="AD53" si="117">$R53*O53</f>
        <v>0</v>
      </c>
      <c r="AE53" s="3">
        <f t="shared" si="13"/>
        <v>0</v>
      </c>
    </row>
    <row r="54" spans="1:32" x14ac:dyDescent="0.25">
      <c r="A54" t="s">
        <v>32</v>
      </c>
      <c r="D54" s="8">
        <v>1524043.9691599999</v>
      </c>
      <c r="E54" s="8">
        <v>1368652.48554</v>
      </c>
      <c r="F54" s="8">
        <v>1427999.66448</v>
      </c>
      <c r="G54" s="8">
        <v>1399659.43147</v>
      </c>
      <c r="H54" s="8">
        <v>1433720.3099799999</v>
      </c>
      <c r="I54" s="8">
        <v>1453941.6797800001</v>
      </c>
      <c r="J54" s="8">
        <v>1441419.5529999998</v>
      </c>
      <c r="K54" s="8">
        <v>1439979.7609599999</v>
      </c>
      <c r="L54" s="8">
        <v>1499105.6393500001</v>
      </c>
      <c r="M54" s="8">
        <v>1421335.6833100002</v>
      </c>
      <c r="N54" s="8">
        <v>1243812.5209999999</v>
      </c>
      <c r="O54" s="8">
        <v>1538901.825</v>
      </c>
      <c r="P54" s="2">
        <f t="shared" si="12"/>
        <v>17192572.523030002</v>
      </c>
      <c r="Q54" s="2"/>
      <c r="R54" s="145" t="s">
        <v>195</v>
      </c>
      <c r="S54" s="9">
        <v>507537.91</v>
      </c>
      <c r="T54" s="9">
        <v>554329.1</v>
      </c>
      <c r="U54" s="9">
        <v>555680.56000000006</v>
      </c>
      <c r="V54" s="9">
        <v>549966.18000000005</v>
      </c>
      <c r="W54" s="9">
        <v>556284.05000000005</v>
      </c>
      <c r="X54" s="9">
        <v>553640.88</v>
      </c>
      <c r="Y54" s="9">
        <v>561733.63</v>
      </c>
      <c r="Z54" s="9">
        <v>557835.01</v>
      </c>
      <c r="AA54" s="9">
        <v>561819.51</v>
      </c>
      <c r="AB54" s="9">
        <v>563001.84</v>
      </c>
      <c r="AC54" s="9">
        <v>541759.67999999993</v>
      </c>
      <c r="AD54" s="9">
        <v>563079.62</v>
      </c>
      <c r="AE54" s="3">
        <f t="shared" si="13"/>
        <v>6626667.9699999988</v>
      </c>
    </row>
    <row r="55" spans="1:32" x14ac:dyDescent="0.25"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32" x14ac:dyDescent="0.25">
      <c r="A56" t="s">
        <v>34</v>
      </c>
      <c r="B56" t="s">
        <v>26</v>
      </c>
      <c r="D56" s="8">
        <v>119070118</v>
      </c>
      <c r="E56" s="8">
        <v>108568590</v>
      </c>
      <c r="F56" s="8">
        <v>105943512</v>
      </c>
      <c r="G56" s="8">
        <v>91461706</v>
      </c>
      <c r="H56" s="8">
        <v>89198577</v>
      </c>
      <c r="I56" s="8">
        <v>87302370</v>
      </c>
      <c r="J56" s="8">
        <v>107168050</v>
      </c>
      <c r="K56" s="8">
        <v>107250024</v>
      </c>
      <c r="L56" s="8">
        <v>84266206</v>
      </c>
      <c r="M56" s="8">
        <v>100735426</v>
      </c>
      <c r="N56" s="8">
        <v>128171879</v>
      </c>
      <c r="O56" s="8">
        <v>136611134</v>
      </c>
      <c r="P56" s="2">
        <f t="shared" si="12"/>
        <v>1265747592</v>
      </c>
      <c r="Q56" s="2"/>
      <c r="S56" s="3">
        <f>SUM(S4:S6)/SUM(D4:D6)*D56</f>
        <v>10636644.446650617</v>
      </c>
      <c r="T56" s="3">
        <f>SUM(T4:T6)/SUM(E4:E6)*E56</f>
        <v>9599379.054271277</v>
      </c>
      <c r="U56" s="3">
        <f t="shared" ref="U56:AB56" si="118">SUM(U4:U6)/SUM(F4:F6)*F56</f>
        <v>9288862.9076912422</v>
      </c>
      <c r="V56" s="3">
        <f t="shared" si="118"/>
        <v>7918825.9032185785</v>
      </c>
      <c r="W56" s="3">
        <f t="shared" si="118"/>
        <v>7527964.7861233009</v>
      </c>
      <c r="X56" s="3">
        <f t="shared" si="118"/>
        <v>7341616.4500460671</v>
      </c>
      <c r="Y56" s="3">
        <f t="shared" si="118"/>
        <v>9088231.6449600086</v>
      </c>
      <c r="Z56" s="3">
        <f t="shared" si="118"/>
        <v>9267333.242403863</v>
      </c>
      <c r="AA56" s="3">
        <f t="shared" si="118"/>
        <v>7226973.1215771008</v>
      </c>
      <c r="AB56" s="3">
        <f t="shared" si="118"/>
        <v>8461905.4093210399</v>
      </c>
      <c r="AC56" s="16">
        <f t="shared" ref="AC56" si="119">SUM(AC4:AC6)/SUM(N4:N6)*N56</f>
        <v>11070156.032527708</v>
      </c>
      <c r="AD56" s="16">
        <f t="shared" ref="AD56" si="120">SUM(AD4:AD6)/SUM(O4:O6)*O56</f>
        <v>12201360.688754305</v>
      </c>
      <c r="AE56" s="3">
        <f t="shared" ref="AE56:AE86" si="121">SUM(S56:AD56)</f>
        <v>109629253.68754511</v>
      </c>
      <c r="AF56" t="s">
        <v>30</v>
      </c>
    </row>
    <row r="57" spans="1:32" x14ac:dyDescent="0.25">
      <c r="B57" t="s">
        <v>27</v>
      </c>
      <c r="D57" s="8">
        <v>-122208219</v>
      </c>
      <c r="E57" s="8">
        <v>-119070118</v>
      </c>
      <c r="F57" s="8">
        <v>-108568590</v>
      </c>
      <c r="G57" s="8">
        <v>-105943512</v>
      </c>
      <c r="H57" s="8">
        <v>-91461706</v>
      </c>
      <c r="I57" s="8">
        <v>-89198577</v>
      </c>
      <c r="J57" s="8">
        <v>-87302370</v>
      </c>
      <c r="K57" s="8">
        <v>-107168050</v>
      </c>
      <c r="L57" s="8">
        <v>-107250024</v>
      </c>
      <c r="M57" s="8">
        <v>-84266206</v>
      </c>
      <c r="N57" s="8">
        <v>-100735426</v>
      </c>
      <c r="O57" s="8">
        <v>-128171879</v>
      </c>
      <c r="P57" s="2">
        <f t="shared" si="12"/>
        <v>-1251344677</v>
      </c>
      <c r="Q57" s="2"/>
      <c r="S57" s="3">
        <f>SUM(S4:S6)/SUM(D4:D6)*D57</f>
        <v>-10916973.929272601</v>
      </c>
      <c r="T57" s="3">
        <f>-S56</f>
        <v>-10636644.446650617</v>
      </c>
      <c r="U57" s="3">
        <f t="shared" ref="U57:AB57" si="122">-T56</f>
        <v>-9599379.054271277</v>
      </c>
      <c r="V57" s="3">
        <f t="shared" si="122"/>
        <v>-9288862.9076912422</v>
      </c>
      <c r="W57" s="3">
        <f t="shared" si="122"/>
        <v>-7918825.9032185785</v>
      </c>
      <c r="X57" s="3">
        <f t="shared" si="122"/>
        <v>-7527964.7861233009</v>
      </c>
      <c r="Y57" s="3">
        <f t="shared" si="122"/>
        <v>-7341616.4500460671</v>
      </c>
      <c r="Z57" s="3">
        <f t="shared" si="122"/>
        <v>-9088231.6449600086</v>
      </c>
      <c r="AA57" s="3">
        <f t="shared" si="122"/>
        <v>-9267333.242403863</v>
      </c>
      <c r="AB57" s="3">
        <f t="shared" si="122"/>
        <v>-7226973.1215771008</v>
      </c>
      <c r="AC57" s="16">
        <f t="shared" ref="AC57" si="123">-AB56</f>
        <v>-8461905.4093210399</v>
      </c>
      <c r="AD57" s="16">
        <f t="shared" ref="AD57" si="124">-AC56</f>
        <v>-11070156.032527708</v>
      </c>
      <c r="AE57" s="3">
        <f t="shared" si="121"/>
        <v>-108344866.92806339</v>
      </c>
      <c r="AF57" t="s">
        <v>31</v>
      </c>
    </row>
    <row r="58" spans="1:32" x14ac:dyDescent="0.25">
      <c r="B58" t="s">
        <v>25</v>
      </c>
      <c r="D58" s="12">
        <f>D56+D57</f>
        <v>-3138101</v>
      </c>
      <c r="E58" s="12">
        <f t="shared" ref="E58:O58" si="125">E56+E57</f>
        <v>-10501528</v>
      </c>
      <c r="F58" s="12">
        <f t="shared" si="125"/>
        <v>-2625078</v>
      </c>
      <c r="G58" s="12">
        <f t="shared" si="125"/>
        <v>-14481806</v>
      </c>
      <c r="H58" s="12">
        <f t="shared" si="125"/>
        <v>-2263129</v>
      </c>
      <c r="I58" s="12">
        <f t="shared" si="125"/>
        <v>-1896207</v>
      </c>
      <c r="J58" s="12">
        <f t="shared" si="125"/>
        <v>19865680</v>
      </c>
      <c r="K58" s="12">
        <f t="shared" si="125"/>
        <v>81974</v>
      </c>
      <c r="L58" s="12">
        <f t="shared" si="125"/>
        <v>-22983818</v>
      </c>
      <c r="M58" s="12">
        <f t="shared" si="125"/>
        <v>16469220</v>
      </c>
      <c r="N58" s="12">
        <f t="shared" si="125"/>
        <v>27436453</v>
      </c>
      <c r="O58" s="12">
        <f t="shared" si="125"/>
        <v>8439255</v>
      </c>
      <c r="P58" s="2">
        <f t="shared" si="12"/>
        <v>14402915</v>
      </c>
      <c r="Q58" s="2"/>
      <c r="R58" s="144">
        <f>ROUND(SUM(AE4:AE6)/SUM(P4:P6),5)</f>
        <v>8.6760000000000004E-2</v>
      </c>
      <c r="S58" s="3">
        <f t="shared" ref="S58:AD58" si="126">$R58*D58</f>
        <v>-272261.64276000002</v>
      </c>
      <c r="T58" s="3">
        <f t="shared" si="126"/>
        <v>-911112.56928000005</v>
      </c>
      <c r="U58" s="3">
        <f t="shared" si="126"/>
        <v>-227751.76728</v>
      </c>
      <c r="V58" s="3">
        <f t="shared" si="126"/>
        <v>-1256441.48856</v>
      </c>
      <c r="W58" s="3">
        <f t="shared" si="126"/>
        <v>-196349.07204</v>
      </c>
      <c r="X58" s="3">
        <f t="shared" si="126"/>
        <v>-164514.91932000002</v>
      </c>
      <c r="Y58" s="3">
        <f t="shared" si="126"/>
        <v>1723546.3968</v>
      </c>
      <c r="Z58" s="3">
        <f t="shared" si="126"/>
        <v>7112.0642400000006</v>
      </c>
      <c r="AA58" s="3">
        <f t="shared" si="126"/>
        <v>-1994076.0496800002</v>
      </c>
      <c r="AB58" s="3">
        <f t="shared" si="126"/>
        <v>1428869.5272000001</v>
      </c>
      <c r="AC58" s="16">
        <f t="shared" si="126"/>
        <v>2380386.6622800003</v>
      </c>
      <c r="AD58" s="16">
        <f t="shared" si="126"/>
        <v>732189.76380000007</v>
      </c>
      <c r="AE58" s="3">
        <f t="shared" si="121"/>
        <v>1249596.9054</v>
      </c>
      <c r="AF58" t="s">
        <v>33</v>
      </c>
    </row>
    <row r="59" spans="1:32" x14ac:dyDescent="0.25">
      <c r="A59" t="s">
        <v>35</v>
      </c>
      <c r="B59" t="s">
        <v>26</v>
      </c>
      <c r="D59" s="8">
        <v>263002</v>
      </c>
      <c r="E59" s="8">
        <v>257015</v>
      </c>
      <c r="F59" s="8">
        <v>259688</v>
      </c>
      <c r="G59" s="8">
        <v>224297</v>
      </c>
      <c r="H59" s="8">
        <v>195588</v>
      </c>
      <c r="I59" s="8">
        <v>179432</v>
      </c>
      <c r="J59" s="8">
        <v>206745</v>
      </c>
      <c r="K59" s="8">
        <v>198365</v>
      </c>
      <c r="L59" s="8">
        <v>162424</v>
      </c>
      <c r="M59" s="8">
        <v>208716</v>
      </c>
      <c r="N59" s="8">
        <v>344421</v>
      </c>
      <c r="O59" s="8">
        <v>382397</v>
      </c>
      <c r="P59" s="2">
        <f t="shared" si="12"/>
        <v>2882090</v>
      </c>
      <c r="Q59" s="2"/>
      <c r="S59" s="3">
        <f>SUM(S8:S10)/SUM(D8:D10)*D59</f>
        <v>16101.107789437441</v>
      </c>
      <c r="T59" s="3">
        <f>SUM(T8:T10)/SUM(E8:E10)*E59</f>
        <v>15551.421577808285</v>
      </c>
      <c r="U59" s="3">
        <f t="shared" ref="U59:AB59" si="127">SUM(U8:U10)/SUM(F8:F10)*F59</f>
        <v>15359.990834019629</v>
      </c>
      <c r="V59" s="3">
        <f t="shared" si="127"/>
        <v>12981.181650990882</v>
      </c>
      <c r="W59" s="3">
        <f t="shared" si="127"/>
        <v>10626.460114004387</v>
      </c>
      <c r="X59" s="3">
        <f t="shared" si="127"/>
        <v>9537.6111888727155</v>
      </c>
      <c r="Y59" s="3">
        <f t="shared" si="127"/>
        <v>11078.07949330783</v>
      </c>
      <c r="Z59" s="3">
        <f t="shared" si="127"/>
        <v>10886.715800120759</v>
      </c>
      <c r="AA59" s="3">
        <f t="shared" si="127"/>
        <v>8849.7012400961648</v>
      </c>
      <c r="AB59" s="3">
        <f t="shared" si="127"/>
        <v>11051.894952089038</v>
      </c>
      <c r="AC59" s="16">
        <f t="shared" ref="AC59" si="128">SUM(AC8:AC10)/SUM(N8:N10)*N59</f>
        <v>19743.667155209834</v>
      </c>
      <c r="AD59" s="16">
        <f t="shared" ref="AD59" si="129">SUM(AD8:AD10)/SUM(O8:O10)*O59</f>
        <v>23354.244164499141</v>
      </c>
      <c r="AE59" s="3">
        <f t="shared" si="121"/>
        <v>165122.0759604561</v>
      </c>
      <c r="AF59" t="s">
        <v>30</v>
      </c>
    </row>
    <row r="60" spans="1:32" x14ac:dyDescent="0.25">
      <c r="B60" t="s">
        <v>27</v>
      </c>
      <c r="D60" s="8">
        <v>-233766</v>
      </c>
      <c r="E60" s="8">
        <v>-263002</v>
      </c>
      <c r="F60" s="8">
        <v>-257015</v>
      </c>
      <c r="G60" s="8">
        <v>-259688</v>
      </c>
      <c r="H60" s="8">
        <v>-224297</v>
      </c>
      <c r="I60" s="8">
        <v>-195588</v>
      </c>
      <c r="J60" s="8">
        <v>-179432</v>
      </c>
      <c r="K60" s="8">
        <v>-206745</v>
      </c>
      <c r="L60" s="8">
        <v>-198365</v>
      </c>
      <c r="M60" s="8">
        <v>-162424</v>
      </c>
      <c r="N60" s="8">
        <v>-208716</v>
      </c>
      <c r="O60" s="8">
        <v>-344421</v>
      </c>
      <c r="P60" s="2">
        <f t="shared" si="12"/>
        <v>-2733459</v>
      </c>
      <c r="Q60" s="2"/>
      <c r="S60" s="3">
        <f>SUM(S8:S10)/SUM(D8:D10)*D60</f>
        <v>-14311.265935261454</v>
      </c>
      <c r="T60" s="3">
        <f>-S59</f>
        <v>-16101.107789437441</v>
      </c>
      <c r="U60" s="3">
        <f t="shared" ref="U60:AB60" si="130">-T59</f>
        <v>-15551.421577808285</v>
      </c>
      <c r="V60" s="3">
        <f t="shared" si="130"/>
        <v>-15359.990834019629</v>
      </c>
      <c r="W60" s="3">
        <f t="shared" si="130"/>
        <v>-12981.181650990882</v>
      </c>
      <c r="X60" s="3">
        <f t="shared" si="130"/>
        <v>-10626.460114004387</v>
      </c>
      <c r="Y60" s="3">
        <f t="shared" si="130"/>
        <v>-9537.6111888727155</v>
      </c>
      <c r="Z60" s="3">
        <f t="shared" si="130"/>
        <v>-11078.07949330783</v>
      </c>
      <c r="AA60" s="3">
        <f t="shared" si="130"/>
        <v>-10886.715800120759</v>
      </c>
      <c r="AB60" s="3">
        <f t="shared" si="130"/>
        <v>-8849.7012400961648</v>
      </c>
      <c r="AC60" s="16">
        <f t="shared" ref="AC60" si="131">-AB59</f>
        <v>-11051.894952089038</v>
      </c>
      <c r="AD60" s="16">
        <f t="shared" ref="AD60" si="132">-AC59</f>
        <v>-19743.667155209834</v>
      </c>
      <c r="AE60" s="3">
        <f t="shared" si="121"/>
        <v>-156079.09773121844</v>
      </c>
      <c r="AF60" t="s">
        <v>31</v>
      </c>
    </row>
    <row r="61" spans="1:32" x14ac:dyDescent="0.25">
      <c r="B61" t="s">
        <v>25</v>
      </c>
      <c r="D61" s="12">
        <f>D59+D60</f>
        <v>29236</v>
      </c>
      <c r="E61" s="12">
        <f t="shared" ref="E61:O61" si="133">E59+E60</f>
        <v>-5987</v>
      </c>
      <c r="F61" s="12">
        <f t="shared" si="133"/>
        <v>2673</v>
      </c>
      <c r="G61" s="12">
        <f t="shared" si="133"/>
        <v>-35391</v>
      </c>
      <c r="H61" s="12">
        <f t="shared" si="133"/>
        <v>-28709</v>
      </c>
      <c r="I61" s="12">
        <f t="shared" si="133"/>
        <v>-16156</v>
      </c>
      <c r="J61" s="12">
        <f t="shared" si="133"/>
        <v>27313</v>
      </c>
      <c r="K61" s="12">
        <f t="shared" si="133"/>
        <v>-8380</v>
      </c>
      <c r="L61" s="12">
        <f t="shared" si="133"/>
        <v>-35941</v>
      </c>
      <c r="M61" s="12">
        <f t="shared" si="133"/>
        <v>46292</v>
      </c>
      <c r="N61" s="12">
        <f t="shared" si="133"/>
        <v>135705</v>
      </c>
      <c r="O61" s="12">
        <f t="shared" si="133"/>
        <v>37976</v>
      </c>
      <c r="P61" s="2">
        <f t="shared" si="12"/>
        <v>148631</v>
      </c>
      <c r="Q61" s="2"/>
      <c r="R61" s="144">
        <f>ROUND(SUM(AE8:AE10)/SUM(P8:P10),5)</f>
        <v>5.7509999999999999E-2</v>
      </c>
      <c r="S61" s="3">
        <f t="shared" ref="S61:AD61" si="134">$R61*D61</f>
        <v>1681.3623599999999</v>
      </c>
      <c r="T61" s="3">
        <f t="shared" si="134"/>
        <v>-344.31236999999999</v>
      </c>
      <c r="U61" s="3">
        <f t="shared" si="134"/>
        <v>153.72423000000001</v>
      </c>
      <c r="V61" s="3">
        <f t="shared" si="134"/>
        <v>-2035.3364099999999</v>
      </c>
      <c r="W61" s="3">
        <f t="shared" si="134"/>
        <v>-1651.05459</v>
      </c>
      <c r="X61" s="3">
        <f t="shared" si="134"/>
        <v>-929.13155999999992</v>
      </c>
      <c r="Y61" s="3">
        <f t="shared" si="134"/>
        <v>1570.77063</v>
      </c>
      <c r="Z61" s="3">
        <f t="shared" si="134"/>
        <v>-481.93379999999996</v>
      </c>
      <c r="AA61" s="3">
        <f t="shared" si="134"/>
        <v>-2066.9669100000001</v>
      </c>
      <c r="AB61" s="3">
        <f t="shared" si="134"/>
        <v>2662.2529199999999</v>
      </c>
      <c r="AC61" s="16">
        <f t="shared" si="134"/>
        <v>7804.39455</v>
      </c>
      <c r="AD61" s="16">
        <f t="shared" si="134"/>
        <v>2183.9997600000002</v>
      </c>
      <c r="AE61" s="3">
        <f t="shared" si="121"/>
        <v>8547.7688099999996</v>
      </c>
      <c r="AF61" t="s">
        <v>33</v>
      </c>
    </row>
    <row r="62" spans="1:32" x14ac:dyDescent="0.25">
      <c r="A62" t="s">
        <v>36</v>
      </c>
      <c r="B62" t="s">
        <v>26</v>
      </c>
      <c r="D62" s="8">
        <v>23304292</v>
      </c>
      <c r="E62" s="8">
        <v>22749850</v>
      </c>
      <c r="F62" s="8">
        <v>22538267</v>
      </c>
      <c r="G62" s="8">
        <v>18200951</v>
      </c>
      <c r="H62" s="8">
        <v>19359272</v>
      </c>
      <c r="I62" s="8">
        <v>21151398</v>
      </c>
      <c r="J62" s="8">
        <v>26248184</v>
      </c>
      <c r="K62" s="8">
        <v>24632379</v>
      </c>
      <c r="L62" s="8">
        <v>20566795</v>
      </c>
      <c r="M62" s="8">
        <v>25891714</v>
      </c>
      <c r="N62" s="8">
        <v>28066325</v>
      </c>
      <c r="O62" s="8">
        <v>27078217</v>
      </c>
      <c r="P62" s="2">
        <f t="shared" si="12"/>
        <v>279787644</v>
      </c>
      <c r="Q62" s="2"/>
      <c r="S62" s="3">
        <f>SUM(S12:S13)/SUM(D12:D13)*D62</f>
        <v>2645931.6426396174</v>
      </c>
      <c r="T62" s="3">
        <f>SUM(T12:T13)/SUM(E12:E13)*E62</f>
        <v>2582565.3561293436</v>
      </c>
      <c r="U62" s="3">
        <f t="shared" ref="U62:AB62" si="135">SUM(U12:U13)/SUM(F12:F13)*F62</f>
        <v>2567547.2516584648</v>
      </c>
      <c r="V62" s="3">
        <f t="shared" si="135"/>
        <v>2092008.6240106199</v>
      </c>
      <c r="W62" s="3">
        <f t="shared" si="135"/>
        <v>2235295.7761353888</v>
      </c>
      <c r="X62" s="3">
        <f t="shared" si="135"/>
        <v>2424324.4843132757</v>
      </c>
      <c r="Y62" s="3">
        <f t="shared" si="135"/>
        <v>2981654.5805520546</v>
      </c>
      <c r="Z62" s="3">
        <f t="shared" si="135"/>
        <v>2772098.5424068216</v>
      </c>
      <c r="AA62" s="3">
        <f t="shared" si="135"/>
        <v>2314848.7786445585</v>
      </c>
      <c r="AB62" s="3">
        <f t="shared" si="135"/>
        <v>2954984.1976240268</v>
      </c>
      <c r="AC62" s="16">
        <f t="shared" ref="AC62" si="136">SUM(AC12:AC13)/SUM(N12:N13)*N62</f>
        <v>3197535.7128471662</v>
      </c>
      <c r="AD62" s="16">
        <f t="shared" ref="AD62" si="137">SUM(AD12:AD13)/SUM(O12:O13)*O62</f>
        <v>3049471.9189374833</v>
      </c>
      <c r="AE62" s="3">
        <f t="shared" si="121"/>
        <v>31818266.865898822</v>
      </c>
      <c r="AF62" t="s">
        <v>30</v>
      </c>
    </row>
    <row r="63" spans="1:32" x14ac:dyDescent="0.25">
      <c r="B63" t="s">
        <v>27</v>
      </c>
      <c r="D63" s="8">
        <v>-25195627</v>
      </c>
      <c r="E63" s="8">
        <v>-23304292</v>
      </c>
      <c r="F63" s="8">
        <v>-22749850</v>
      </c>
      <c r="G63" s="8">
        <v>-22538267</v>
      </c>
      <c r="H63" s="8">
        <v>-18200951</v>
      </c>
      <c r="I63" s="8">
        <v>-19359272</v>
      </c>
      <c r="J63" s="8">
        <v>-21151398</v>
      </c>
      <c r="K63" s="8">
        <v>-26248184</v>
      </c>
      <c r="L63" s="8">
        <v>-24632379</v>
      </c>
      <c r="M63" s="8">
        <v>-20566795</v>
      </c>
      <c r="N63" s="8">
        <v>-25891714</v>
      </c>
      <c r="O63" s="8">
        <v>-28066325</v>
      </c>
      <c r="P63" s="2">
        <f t="shared" si="12"/>
        <v>-277905054</v>
      </c>
      <c r="Q63" s="2"/>
      <c r="S63" s="3">
        <f>SUM(S12:S13)/SUM(D12:D13)*D63</f>
        <v>-2860670.7612248035</v>
      </c>
      <c r="T63" s="3">
        <f>-S62</f>
        <v>-2645931.6426396174</v>
      </c>
      <c r="U63" s="3">
        <f t="shared" ref="U63:AB63" si="138">-T62</f>
        <v>-2582565.3561293436</v>
      </c>
      <c r="V63" s="3">
        <f t="shared" si="138"/>
        <v>-2567547.2516584648</v>
      </c>
      <c r="W63" s="3">
        <f t="shared" si="138"/>
        <v>-2092008.6240106199</v>
      </c>
      <c r="X63" s="3">
        <f t="shared" si="138"/>
        <v>-2235295.7761353888</v>
      </c>
      <c r="Y63" s="3">
        <f t="shared" si="138"/>
        <v>-2424324.4843132757</v>
      </c>
      <c r="Z63" s="3">
        <f t="shared" si="138"/>
        <v>-2981654.5805520546</v>
      </c>
      <c r="AA63" s="3">
        <f t="shared" si="138"/>
        <v>-2772098.5424068216</v>
      </c>
      <c r="AB63" s="3">
        <f t="shared" si="138"/>
        <v>-2314848.7786445585</v>
      </c>
      <c r="AC63" s="16">
        <f t="shared" ref="AC63" si="139">-AB62</f>
        <v>-2954984.1976240268</v>
      </c>
      <c r="AD63" s="16">
        <f t="shared" ref="AD63" si="140">-AC62</f>
        <v>-3197535.7128471662</v>
      </c>
      <c r="AE63" s="3">
        <f t="shared" si="121"/>
        <v>-31629465.708186138</v>
      </c>
      <c r="AF63" t="s">
        <v>31</v>
      </c>
    </row>
    <row r="64" spans="1:32" x14ac:dyDescent="0.25">
      <c r="B64" t="s">
        <v>25</v>
      </c>
      <c r="D64" s="12">
        <f>D62+D63</f>
        <v>-1891335</v>
      </c>
      <c r="E64" s="12">
        <f t="shared" ref="E64:O64" si="141">E62+E63</f>
        <v>-554442</v>
      </c>
      <c r="F64" s="12">
        <f t="shared" si="141"/>
        <v>-211583</v>
      </c>
      <c r="G64" s="12">
        <f t="shared" si="141"/>
        <v>-4337316</v>
      </c>
      <c r="H64" s="12">
        <f t="shared" si="141"/>
        <v>1158321</v>
      </c>
      <c r="I64" s="12">
        <f t="shared" si="141"/>
        <v>1792126</v>
      </c>
      <c r="J64" s="12">
        <f t="shared" si="141"/>
        <v>5096786</v>
      </c>
      <c r="K64" s="12">
        <f t="shared" si="141"/>
        <v>-1615805</v>
      </c>
      <c r="L64" s="12">
        <f t="shared" si="141"/>
        <v>-4065584</v>
      </c>
      <c r="M64" s="12">
        <f t="shared" si="141"/>
        <v>5324919</v>
      </c>
      <c r="N64" s="12">
        <f t="shared" si="141"/>
        <v>2174611</v>
      </c>
      <c r="O64" s="12">
        <f t="shared" si="141"/>
        <v>-988108</v>
      </c>
      <c r="P64" s="2">
        <f t="shared" si="12"/>
        <v>1882590</v>
      </c>
      <c r="Q64" s="2"/>
      <c r="R64" s="144">
        <f>ROUND(SUM(AE12:AE13)/SUM(P12:P13),5)</f>
        <v>0.1137</v>
      </c>
      <c r="S64" s="3">
        <f t="shared" ref="S64:AD64" si="142">$R64*D64</f>
        <v>-215044.78949999998</v>
      </c>
      <c r="T64" s="3">
        <f t="shared" si="142"/>
        <v>-63040.055399999997</v>
      </c>
      <c r="U64" s="3">
        <f t="shared" si="142"/>
        <v>-24056.987099999998</v>
      </c>
      <c r="V64" s="3">
        <f t="shared" si="142"/>
        <v>-493152.82919999998</v>
      </c>
      <c r="W64" s="3">
        <f t="shared" si="142"/>
        <v>131701.09769999998</v>
      </c>
      <c r="X64" s="3">
        <f t="shared" si="142"/>
        <v>203764.7262</v>
      </c>
      <c r="Y64" s="3">
        <f t="shared" si="142"/>
        <v>579504.56819999998</v>
      </c>
      <c r="Z64" s="3">
        <f t="shared" si="142"/>
        <v>-183717.02849999999</v>
      </c>
      <c r="AA64" s="3">
        <f t="shared" si="142"/>
        <v>-462256.9008</v>
      </c>
      <c r="AB64" s="3">
        <f t="shared" si="142"/>
        <v>605443.29029999999</v>
      </c>
      <c r="AC64" s="16">
        <f t="shared" si="142"/>
        <v>247253.27069999999</v>
      </c>
      <c r="AD64" s="16">
        <f t="shared" si="142"/>
        <v>-112347.8796</v>
      </c>
      <c r="AE64" s="3">
        <f t="shared" si="121"/>
        <v>214050.48300000012</v>
      </c>
      <c r="AF64" t="s">
        <v>33</v>
      </c>
    </row>
    <row r="65" spans="1:32" x14ac:dyDescent="0.25">
      <c r="A65" t="s">
        <v>37</v>
      </c>
      <c r="B65" t="s">
        <v>26</v>
      </c>
      <c r="D65" s="8">
        <v>3065862</v>
      </c>
      <c r="E65" s="8">
        <v>2891763</v>
      </c>
      <c r="F65" s="8">
        <v>2811290</v>
      </c>
      <c r="G65" s="8">
        <v>2249701</v>
      </c>
      <c r="H65" s="8">
        <v>2221491</v>
      </c>
      <c r="I65" s="8">
        <v>2115534</v>
      </c>
      <c r="J65" s="8">
        <v>2362563</v>
      </c>
      <c r="K65" s="8">
        <v>2114833</v>
      </c>
      <c r="L65" s="8">
        <v>1781581</v>
      </c>
      <c r="M65" s="8">
        <v>2444850</v>
      </c>
      <c r="N65" s="8">
        <v>3230051</v>
      </c>
      <c r="O65" s="8">
        <v>3483601</v>
      </c>
      <c r="P65" s="2">
        <f t="shared" si="12"/>
        <v>30773120</v>
      </c>
      <c r="Q65" s="2"/>
      <c r="S65" s="3">
        <f>SUM(S17:S18)/SUM(D17:D18)*D65</f>
        <v>354041.12213269883</v>
      </c>
      <c r="T65" s="3">
        <f>SUM(T17:T18)/SUM(E17:E18)*E65</f>
        <v>334263.57766862254</v>
      </c>
      <c r="U65" s="3">
        <f t="shared" ref="U65:AB65" si="143">SUM(U17:U18)/SUM(F17:F18)*F65</f>
        <v>326201.06647154887</v>
      </c>
      <c r="V65" s="3">
        <f t="shared" si="143"/>
        <v>262796.32808277791</v>
      </c>
      <c r="W65" s="3">
        <f t="shared" si="143"/>
        <v>260169.21880440461</v>
      </c>
      <c r="X65" s="3">
        <f t="shared" si="143"/>
        <v>247660.29765161732</v>
      </c>
      <c r="Y65" s="3">
        <f t="shared" si="143"/>
        <v>275779.53631247277</v>
      </c>
      <c r="Z65" s="3">
        <f t="shared" si="143"/>
        <v>245488.50445221784</v>
      </c>
      <c r="AA65" s="3">
        <f t="shared" si="143"/>
        <v>206977.0827723913</v>
      </c>
      <c r="AB65" s="3">
        <f t="shared" si="143"/>
        <v>285660.55421097187</v>
      </c>
      <c r="AC65" s="16">
        <f t="shared" ref="AC65" si="144">SUM(AC17:AC18)/SUM(N17:N18)*N65</f>
        <v>376653.19780945533</v>
      </c>
      <c r="AD65" s="16">
        <f t="shared" ref="AD65" si="145">SUM(AD17:AD18)/SUM(O17:O18)*O65</f>
        <v>403879.79553041223</v>
      </c>
      <c r="AE65" s="3">
        <f t="shared" si="121"/>
        <v>3579570.2818995919</v>
      </c>
      <c r="AF65" t="s">
        <v>30</v>
      </c>
    </row>
    <row r="66" spans="1:32" x14ac:dyDescent="0.25">
      <c r="B66" t="s">
        <v>27</v>
      </c>
      <c r="D66" s="8">
        <v>-3158611</v>
      </c>
      <c r="E66" s="8">
        <v>-3065862</v>
      </c>
      <c r="F66" s="8">
        <v>-2891763</v>
      </c>
      <c r="G66" s="8">
        <v>-2811290</v>
      </c>
      <c r="H66" s="8">
        <v>-2249701</v>
      </c>
      <c r="I66" s="8">
        <v>-2221491</v>
      </c>
      <c r="J66" s="8">
        <v>-2115534</v>
      </c>
      <c r="K66" s="8">
        <v>-2362563</v>
      </c>
      <c r="L66" s="8">
        <v>-2114833</v>
      </c>
      <c r="M66" s="8">
        <v>-1781581</v>
      </c>
      <c r="N66" s="8">
        <v>-2444850</v>
      </c>
      <c r="O66" s="8">
        <v>-3230051</v>
      </c>
      <c r="P66" s="2">
        <f t="shared" si="12"/>
        <v>-30448130</v>
      </c>
      <c r="Q66" s="2"/>
      <c r="S66" s="3">
        <f>SUM(S17:S18)/SUM(D17:D18)*D66</f>
        <v>-364751.6368384115</v>
      </c>
      <c r="T66" s="3">
        <f>-S65</f>
        <v>-354041.12213269883</v>
      </c>
      <c r="U66" s="3">
        <f t="shared" ref="U66:AB66" si="146">-T65</f>
        <v>-334263.57766862254</v>
      </c>
      <c r="V66" s="3">
        <f t="shared" si="146"/>
        <v>-326201.06647154887</v>
      </c>
      <c r="W66" s="3">
        <f t="shared" si="146"/>
        <v>-262796.32808277791</v>
      </c>
      <c r="X66" s="3">
        <f t="shared" si="146"/>
        <v>-260169.21880440461</v>
      </c>
      <c r="Y66" s="3">
        <f t="shared" si="146"/>
        <v>-247660.29765161732</v>
      </c>
      <c r="Z66" s="3">
        <f t="shared" si="146"/>
        <v>-275779.53631247277</v>
      </c>
      <c r="AA66" s="3">
        <f t="shared" si="146"/>
        <v>-245488.50445221784</v>
      </c>
      <c r="AB66" s="3">
        <f t="shared" si="146"/>
        <v>-206977.0827723913</v>
      </c>
      <c r="AC66" s="16">
        <f t="shared" ref="AC66" si="147">-AB65</f>
        <v>-285660.55421097187</v>
      </c>
      <c r="AD66" s="16">
        <f t="shared" ref="AD66" si="148">-AC65</f>
        <v>-376653.19780945533</v>
      </c>
      <c r="AE66" s="3">
        <f t="shared" si="121"/>
        <v>-3540442.123207591</v>
      </c>
      <c r="AF66" t="s">
        <v>31</v>
      </c>
    </row>
    <row r="67" spans="1:32" x14ac:dyDescent="0.25">
      <c r="B67" t="s">
        <v>25</v>
      </c>
      <c r="D67" s="12">
        <f>D65+D66</f>
        <v>-92749</v>
      </c>
      <c r="E67" s="12">
        <f t="shared" ref="E67:O67" si="149">E65+E66</f>
        <v>-174099</v>
      </c>
      <c r="F67" s="12">
        <f t="shared" si="149"/>
        <v>-80473</v>
      </c>
      <c r="G67" s="12">
        <f t="shared" si="149"/>
        <v>-561589</v>
      </c>
      <c r="H67" s="12">
        <f t="shared" si="149"/>
        <v>-28210</v>
      </c>
      <c r="I67" s="12">
        <f t="shared" si="149"/>
        <v>-105957</v>
      </c>
      <c r="J67" s="12">
        <f t="shared" si="149"/>
        <v>247029</v>
      </c>
      <c r="K67" s="12">
        <f t="shared" si="149"/>
        <v>-247730</v>
      </c>
      <c r="L67" s="12">
        <f t="shared" si="149"/>
        <v>-333252</v>
      </c>
      <c r="M67" s="12">
        <f t="shared" si="149"/>
        <v>663269</v>
      </c>
      <c r="N67" s="12">
        <f t="shared" si="149"/>
        <v>785201</v>
      </c>
      <c r="O67" s="12">
        <f t="shared" si="149"/>
        <v>253550</v>
      </c>
      <c r="P67" s="2">
        <f t="shared" si="12"/>
        <v>324990</v>
      </c>
      <c r="Q67" s="2"/>
      <c r="R67" s="144">
        <f>ROUND(SUM(AE17:AE18)/SUM(P17:P18),5)</f>
        <v>0.11627999999999999</v>
      </c>
      <c r="S67" s="3">
        <f t="shared" ref="S67:AD67" si="150">$R67*D67</f>
        <v>-10784.853719999999</v>
      </c>
      <c r="T67" s="3">
        <f t="shared" si="150"/>
        <v>-20244.23172</v>
      </c>
      <c r="U67" s="3">
        <f t="shared" si="150"/>
        <v>-9357.4004399999994</v>
      </c>
      <c r="V67" s="3">
        <f t="shared" si="150"/>
        <v>-65301.568919999998</v>
      </c>
      <c r="W67" s="3">
        <f t="shared" si="150"/>
        <v>-3280.2588000000001</v>
      </c>
      <c r="X67" s="3">
        <f t="shared" si="150"/>
        <v>-12320.679959999999</v>
      </c>
      <c r="Y67" s="3">
        <f t="shared" si="150"/>
        <v>28724.53212</v>
      </c>
      <c r="Z67" s="3">
        <f t="shared" si="150"/>
        <v>-28806.044399999999</v>
      </c>
      <c r="AA67" s="3">
        <f t="shared" si="150"/>
        <v>-38750.542560000002</v>
      </c>
      <c r="AB67" s="3">
        <f t="shared" si="150"/>
        <v>77124.919320000001</v>
      </c>
      <c r="AC67" s="16">
        <f t="shared" si="150"/>
        <v>91303.172279999999</v>
      </c>
      <c r="AD67" s="16">
        <f t="shared" si="150"/>
        <v>29482.793999999998</v>
      </c>
      <c r="AE67" s="3">
        <f t="shared" si="121"/>
        <v>37789.837200000024</v>
      </c>
      <c r="AF67" t="s">
        <v>33</v>
      </c>
    </row>
    <row r="68" spans="1:32" x14ac:dyDescent="0.25">
      <c r="A68" t="s">
        <v>38</v>
      </c>
      <c r="B68" t="s">
        <v>26</v>
      </c>
      <c r="D68" s="8">
        <v>53382395</v>
      </c>
      <c r="E68" s="8">
        <v>49964370</v>
      </c>
      <c r="F68" s="8">
        <v>51105038</v>
      </c>
      <c r="G68" s="8">
        <v>43696097</v>
      </c>
      <c r="H68" s="8">
        <v>48642771</v>
      </c>
      <c r="I68" s="8">
        <v>52827630</v>
      </c>
      <c r="J68" s="8">
        <v>63245675</v>
      </c>
      <c r="K68" s="8">
        <v>56143554</v>
      </c>
      <c r="L68" s="8">
        <v>47191078</v>
      </c>
      <c r="M68" s="8">
        <v>65171080</v>
      </c>
      <c r="N68" s="8">
        <v>62097810</v>
      </c>
      <c r="O68" s="8">
        <v>55604776</v>
      </c>
      <c r="P68" s="2">
        <f t="shared" ref="P68:P86" si="151">SUM(D68:O68)</f>
        <v>649072274</v>
      </c>
      <c r="Q68" s="2"/>
      <c r="S68" s="3">
        <f>SUM(S22:S23)/SUM(D22:D23)*D68</f>
        <v>4236719.6633428661</v>
      </c>
      <c r="T68" s="3">
        <f>SUM(T22:T23)/SUM(E22:E23)*E68</f>
        <v>3966361.7990630106</v>
      </c>
      <c r="U68" s="3">
        <f t="shared" ref="U68:AB68" si="152">SUM(U22:U23)/SUM(F22:F23)*F68</f>
        <v>4060797.5527880718</v>
      </c>
      <c r="V68" s="3">
        <f t="shared" si="152"/>
        <v>3470207.7013217746</v>
      </c>
      <c r="W68" s="3">
        <f t="shared" si="152"/>
        <v>3863618.5598378167</v>
      </c>
      <c r="X68" s="3">
        <f t="shared" si="152"/>
        <v>4196416.6301353369</v>
      </c>
      <c r="Y68" s="3">
        <f t="shared" si="152"/>
        <v>5019561.6808212074</v>
      </c>
      <c r="Z68" s="3">
        <f t="shared" si="152"/>
        <v>4452402.2177187642</v>
      </c>
      <c r="AA68" s="3">
        <f t="shared" si="152"/>
        <v>3739153.1551834564</v>
      </c>
      <c r="AB68" s="3">
        <f t="shared" si="152"/>
        <v>5174038.2244045418</v>
      </c>
      <c r="AC68" s="16">
        <f t="shared" ref="AC68" si="153">SUM(AC22:AC23)/SUM(N22:N23)*N68</f>
        <v>4933477.7952361042</v>
      </c>
      <c r="AD68" s="16">
        <f t="shared" ref="AD68" si="154">SUM(AD22:AD23)/SUM(O22:O23)*O68</f>
        <v>4417676.5306037907</v>
      </c>
      <c r="AE68" s="3">
        <f t="shared" si="121"/>
        <v>51530431.510456741</v>
      </c>
      <c r="AF68" t="s">
        <v>30</v>
      </c>
    </row>
    <row r="69" spans="1:32" x14ac:dyDescent="0.25">
      <c r="B69" t="s">
        <v>27</v>
      </c>
      <c r="D69" s="8">
        <v>-56115148</v>
      </c>
      <c r="E69" s="8">
        <v>-53382395</v>
      </c>
      <c r="F69" s="8">
        <v>-49964370</v>
      </c>
      <c r="G69" s="8">
        <v>-51105038</v>
      </c>
      <c r="H69" s="8">
        <v>-43696097</v>
      </c>
      <c r="I69" s="8">
        <v>-48642771</v>
      </c>
      <c r="J69" s="8">
        <v>-52827630</v>
      </c>
      <c r="K69" s="8">
        <v>-63245675</v>
      </c>
      <c r="L69" s="8">
        <v>-56143554</v>
      </c>
      <c r="M69" s="8">
        <v>-47191078</v>
      </c>
      <c r="N69" s="8">
        <v>-65171080</v>
      </c>
      <c r="O69" s="8">
        <v>-62097810</v>
      </c>
      <c r="P69" s="2">
        <f t="shared" si="151"/>
        <v>-649582646</v>
      </c>
      <c r="Q69" s="2"/>
      <c r="S69" s="3">
        <f>SUM(S22:S23)/SUM(D22:D23)*D69</f>
        <v>-4453605.930250884</v>
      </c>
      <c r="T69" s="3">
        <f>-S68</f>
        <v>-4236719.6633428661</v>
      </c>
      <c r="U69" s="3">
        <f t="shared" ref="U69:AB69" si="155">-T68</f>
        <v>-3966361.7990630106</v>
      </c>
      <c r="V69" s="3">
        <f t="shared" si="155"/>
        <v>-4060797.5527880718</v>
      </c>
      <c r="W69" s="3">
        <f t="shared" si="155"/>
        <v>-3470207.7013217746</v>
      </c>
      <c r="X69" s="3">
        <f t="shared" si="155"/>
        <v>-3863618.5598378167</v>
      </c>
      <c r="Y69" s="3">
        <f t="shared" si="155"/>
        <v>-4196416.6301353369</v>
      </c>
      <c r="Z69" s="3">
        <f t="shared" si="155"/>
        <v>-5019561.6808212074</v>
      </c>
      <c r="AA69" s="3">
        <f t="shared" si="155"/>
        <v>-4452402.2177187642</v>
      </c>
      <c r="AB69" s="3">
        <f t="shared" si="155"/>
        <v>-3739153.1551834564</v>
      </c>
      <c r="AC69" s="16">
        <f t="shared" ref="AC69" si="156">-AB68</f>
        <v>-5174038.2244045418</v>
      </c>
      <c r="AD69" s="16">
        <f t="shared" ref="AD69" si="157">-AC68</f>
        <v>-4933477.7952361042</v>
      </c>
      <c r="AE69" s="3">
        <f t="shared" si="121"/>
        <v>-51566360.910103835</v>
      </c>
      <c r="AF69" t="s">
        <v>31</v>
      </c>
    </row>
    <row r="70" spans="1:32" x14ac:dyDescent="0.25">
      <c r="B70" t="s">
        <v>25</v>
      </c>
      <c r="D70" s="12">
        <f>D68+D69</f>
        <v>-2732753</v>
      </c>
      <c r="E70" s="12">
        <f t="shared" ref="E70:O70" si="158">E68+E69</f>
        <v>-3418025</v>
      </c>
      <c r="F70" s="12">
        <f t="shared" si="158"/>
        <v>1140668</v>
      </c>
      <c r="G70" s="12">
        <f t="shared" si="158"/>
        <v>-7408941</v>
      </c>
      <c r="H70" s="12">
        <f t="shared" si="158"/>
        <v>4946674</v>
      </c>
      <c r="I70" s="12">
        <f t="shared" si="158"/>
        <v>4184859</v>
      </c>
      <c r="J70" s="12">
        <f t="shared" si="158"/>
        <v>10418045</v>
      </c>
      <c r="K70" s="12">
        <f t="shared" si="158"/>
        <v>-7102121</v>
      </c>
      <c r="L70" s="12">
        <f t="shared" si="158"/>
        <v>-8952476</v>
      </c>
      <c r="M70" s="12">
        <f t="shared" si="158"/>
        <v>17980002</v>
      </c>
      <c r="N70" s="12">
        <f t="shared" si="158"/>
        <v>-3073270</v>
      </c>
      <c r="O70" s="12">
        <f t="shared" si="158"/>
        <v>-6493034</v>
      </c>
      <c r="P70" s="2">
        <f t="shared" si="151"/>
        <v>-510372</v>
      </c>
      <c r="Q70" s="2"/>
      <c r="R70" s="144">
        <f>ROUND(SUM(AE22:AE23)/SUM(P22:P23),5)</f>
        <v>7.9390000000000002E-2</v>
      </c>
      <c r="S70" s="3">
        <f t="shared" ref="S70:AD70" si="159">$R70*D70</f>
        <v>-216953.26067000002</v>
      </c>
      <c r="T70" s="3">
        <f t="shared" si="159"/>
        <v>-271357.00475000002</v>
      </c>
      <c r="U70" s="3">
        <f t="shared" si="159"/>
        <v>90557.632519999999</v>
      </c>
      <c r="V70" s="3">
        <f t="shared" si="159"/>
        <v>-588195.82599000004</v>
      </c>
      <c r="W70" s="3">
        <f t="shared" si="159"/>
        <v>392716.44886</v>
      </c>
      <c r="X70" s="3">
        <f t="shared" si="159"/>
        <v>332235.95601000002</v>
      </c>
      <c r="Y70" s="3">
        <f t="shared" si="159"/>
        <v>827088.59255000006</v>
      </c>
      <c r="Z70" s="3">
        <f t="shared" si="159"/>
        <v>-563837.38618999999</v>
      </c>
      <c r="AA70" s="3">
        <f t="shared" si="159"/>
        <v>-710737.06964</v>
      </c>
      <c r="AB70" s="3">
        <f t="shared" si="159"/>
        <v>1427432.3587800001</v>
      </c>
      <c r="AC70" s="16">
        <f t="shared" si="159"/>
        <v>-243986.90530000001</v>
      </c>
      <c r="AD70" s="16">
        <f t="shared" si="159"/>
        <v>-515481.96926000004</v>
      </c>
      <c r="AE70" s="3">
        <f t="shared" si="121"/>
        <v>-40518.433079999872</v>
      </c>
      <c r="AF70" t="s">
        <v>33</v>
      </c>
    </row>
    <row r="71" spans="1:32" x14ac:dyDescent="0.25">
      <c r="A71" t="s">
        <v>39</v>
      </c>
      <c r="B71" t="s">
        <v>26</v>
      </c>
      <c r="D71" s="8">
        <v>1608060</v>
      </c>
      <c r="E71" s="8">
        <v>1444720</v>
      </c>
      <c r="F71" s="8">
        <v>1435443</v>
      </c>
      <c r="G71" s="8">
        <v>1177065</v>
      </c>
      <c r="H71" s="8">
        <v>1095681</v>
      </c>
      <c r="I71" s="8">
        <v>1258247</v>
      </c>
      <c r="J71" s="8">
        <v>1388958</v>
      </c>
      <c r="K71" s="8">
        <v>1300474</v>
      </c>
      <c r="L71" s="8">
        <v>1064599</v>
      </c>
      <c r="M71" s="8">
        <v>1422135</v>
      </c>
      <c r="N71" s="8">
        <v>1400862</v>
      </c>
      <c r="O71" s="8">
        <v>1655745</v>
      </c>
      <c r="P71" s="2">
        <f t="shared" si="151"/>
        <v>16251989</v>
      </c>
      <c r="Q71" s="2"/>
      <c r="S71" s="3">
        <f>SUM(S28:S29)/SUM(D28:D29)*D71</f>
        <v>122644.09607670399</v>
      </c>
      <c r="T71" s="3">
        <f>SUM(T28:T29)/SUM(E28:E29)*E71</f>
        <v>110269.5606137875</v>
      </c>
      <c r="U71" s="3">
        <f t="shared" ref="U71:AB71" si="160">SUM(U28:U29)/SUM(F28:F29)*F71</f>
        <v>109605.45595024135</v>
      </c>
      <c r="V71" s="3">
        <f t="shared" si="160"/>
        <v>89880.683399999994</v>
      </c>
      <c r="W71" s="3">
        <f t="shared" si="160"/>
        <v>83666.201159999982</v>
      </c>
      <c r="X71" s="3">
        <f t="shared" si="160"/>
        <v>96079.740919999997</v>
      </c>
      <c r="Y71" s="3">
        <f t="shared" si="160"/>
        <v>106060.83288</v>
      </c>
      <c r="Z71" s="3">
        <f t="shared" si="160"/>
        <v>99146.64313502307</v>
      </c>
      <c r="AA71" s="3">
        <f t="shared" si="160"/>
        <v>81137.153894976072</v>
      </c>
      <c r="AB71" s="3">
        <f t="shared" si="160"/>
        <v>108487.85644923763</v>
      </c>
      <c r="AC71" s="16">
        <f t="shared" ref="AC71" si="161">SUM(AC28:AC29)/SUM(N28:N29)*N71</f>
        <v>106969.82231999999</v>
      </c>
      <c r="AD71" s="16">
        <f t="shared" ref="AD71" si="162">SUM(AD28:AD29)/SUM(O28:O29)*O71</f>
        <v>126432.68819999999</v>
      </c>
      <c r="AE71" s="3">
        <f t="shared" si="121"/>
        <v>1240380.7349999696</v>
      </c>
      <c r="AF71" t="s">
        <v>30</v>
      </c>
    </row>
    <row r="72" spans="1:32" x14ac:dyDescent="0.25">
      <c r="B72" t="s">
        <v>27</v>
      </c>
      <c r="D72" s="8">
        <v>-1556783</v>
      </c>
      <c r="E72" s="8">
        <v>-1608060</v>
      </c>
      <c r="F72" s="8">
        <v>-1444720</v>
      </c>
      <c r="G72" s="8">
        <v>-1435443</v>
      </c>
      <c r="H72" s="8">
        <v>-1177065</v>
      </c>
      <c r="I72" s="8">
        <v>-1095681</v>
      </c>
      <c r="J72" s="8">
        <v>-1258247</v>
      </c>
      <c r="K72" s="8">
        <v>-1388958</v>
      </c>
      <c r="L72" s="8">
        <v>-1300474</v>
      </c>
      <c r="M72" s="8">
        <v>-1064599</v>
      </c>
      <c r="N72" s="8">
        <v>-1422135</v>
      </c>
      <c r="O72" s="8">
        <v>-1400862</v>
      </c>
      <c r="P72" s="2">
        <f t="shared" si="151"/>
        <v>-16153027</v>
      </c>
      <c r="Q72" s="2"/>
      <c r="S72" s="3">
        <f>SUM(S28:S29)/SUM(D28:D29)*D72</f>
        <v>-118733.28347361385</v>
      </c>
      <c r="T72" s="3">
        <f>-S71</f>
        <v>-122644.09607670399</v>
      </c>
      <c r="U72" s="3">
        <f t="shared" ref="U72:AB72" si="163">-T71</f>
        <v>-110269.5606137875</v>
      </c>
      <c r="V72" s="3">
        <f t="shared" si="163"/>
        <v>-109605.45595024135</v>
      </c>
      <c r="W72" s="3">
        <f t="shared" si="163"/>
        <v>-89880.683399999994</v>
      </c>
      <c r="X72" s="3">
        <f t="shared" si="163"/>
        <v>-83666.201159999982</v>
      </c>
      <c r="Y72" s="3">
        <f t="shared" si="163"/>
        <v>-96079.740919999997</v>
      </c>
      <c r="Z72" s="3">
        <f t="shared" si="163"/>
        <v>-106060.83288</v>
      </c>
      <c r="AA72" s="3">
        <f t="shared" si="163"/>
        <v>-99146.64313502307</v>
      </c>
      <c r="AB72" s="3">
        <f t="shared" si="163"/>
        <v>-81137.153894976072</v>
      </c>
      <c r="AC72" s="16">
        <f t="shared" ref="AC72" si="164">-AB71</f>
        <v>-108487.85644923763</v>
      </c>
      <c r="AD72" s="16">
        <f t="shared" ref="AD72" si="165">-AC71</f>
        <v>-106969.82231999999</v>
      </c>
      <c r="AE72" s="3">
        <f t="shared" si="121"/>
        <v>-1232681.3302735833</v>
      </c>
      <c r="AF72" t="s">
        <v>31</v>
      </c>
    </row>
    <row r="73" spans="1:32" x14ac:dyDescent="0.25">
      <c r="B73" t="s">
        <v>25</v>
      </c>
      <c r="D73" s="12">
        <f>D71+D72</f>
        <v>51277</v>
      </c>
      <c r="E73" s="12">
        <f t="shared" ref="E73:O73" si="166">E71+E72</f>
        <v>-163340</v>
      </c>
      <c r="F73" s="12">
        <f t="shared" si="166"/>
        <v>-9277</v>
      </c>
      <c r="G73" s="12">
        <f t="shared" si="166"/>
        <v>-258378</v>
      </c>
      <c r="H73" s="12">
        <f t="shared" si="166"/>
        <v>-81384</v>
      </c>
      <c r="I73" s="12">
        <f t="shared" si="166"/>
        <v>162566</v>
      </c>
      <c r="J73" s="12">
        <f t="shared" si="166"/>
        <v>130711</v>
      </c>
      <c r="K73" s="12">
        <f t="shared" si="166"/>
        <v>-88484</v>
      </c>
      <c r="L73" s="12">
        <f t="shared" si="166"/>
        <v>-235875</v>
      </c>
      <c r="M73" s="12">
        <f t="shared" si="166"/>
        <v>357536</v>
      </c>
      <c r="N73" s="12">
        <f t="shared" si="166"/>
        <v>-21273</v>
      </c>
      <c r="O73" s="12">
        <f t="shared" si="166"/>
        <v>254883</v>
      </c>
      <c r="P73" s="2">
        <f t="shared" si="151"/>
        <v>98962</v>
      </c>
      <c r="Q73" s="2"/>
      <c r="R73" s="144">
        <f>ROUND(SUM(AE28:AE29)/SUM(P28:P29),5)</f>
        <v>7.6319999999999999E-2</v>
      </c>
      <c r="S73" s="3">
        <f t="shared" ref="S73:AD73" si="167">$R73*D73</f>
        <v>3913.4606399999998</v>
      </c>
      <c r="T73" s="3">
        <f t="shared" si="167"/>
        <v>-12466.1088</v>
      </c>
      <c r="U73" s="3">
        <f t="shared" si="167"/>
        <v>-708.02063999999996</v>
      </c>
      <c r="V73" s="3">
        <f t="shared" si="167"/>
        <v>-19719.408960000001</v>
      </c>
      <c r="W73" s="3">
        <f t="shared" si="167"/>
        <v>-6211.2268800000002</v>
      </c>
      <c r="X73" s="3">
        <f t="shared" si="167"/>
        <v>12407.037119999999</v>
      </c>
      <c r="Y73" s="3">
        <f t="shared" si="167"/>
        <v>9975.863519999999</v>
      </c>
      <c r="Z73" s="3">
        <f t="shared" si="167"/>
        <v>-6753.0988799999996</v>
      </c>
      <c r="AA73" s="3">
        <f t="shared" si="167"/>
        <v>-18001.98</v>
      </c>
      <c r="AB73" s="3">
        <f t="shared" si="167"/>
        <v>27287.147519999999</v>
      </c>
      <c r="AC73" s="16">
        <f t="shared" si="167"/>
        <v>-1623.5553600000001</v>
      </c>
      <c r="AD73" s="16">
        <f t="shared" si="167"/>
        <v>19452.670559999999</v>
      </c>
      <c r="AE73" s="3">
        <f t="shared" si="121"/>
        <v>7552.7798400000011</v>
      </c>
      <c r="AF73" t="s">
        <v>33</v>
      </c>
    </row>
    <row r="74" spans="1:32" x14ac:dyDescent="0.25">
      <c r="A74" t="s">
        <v>40</v>
      </c>
      <c r="B74" t="s">
        <v>26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2">
        <f t="shared" si="151"/>
        <v>0</v>
      </c>
      <c r="Q74" s="2"/>
      <c r="S74" s="3">
        <f>SUM(S34:S36)/SUM(D34:D36)*D74</f>
        <v>0</v>
      </c>
      <c r="T74" s="3">
        <f>SUM(T34:T36)/SUM(E34:E36)*E74</f>
        <v>0</v>
      </c>
      <c r="U74" s="3">
        <f t="shared" ref="U74:AB74" si="168">SUM(U34:U36)/SUM(F34:F36)*F74</f>
        <v>0</v>
      </c>
      <c r="V74" s="3">
        <f t="shared" si="168"/>
        <v>0</v>
      </c>
      <c r="W74" s="3">
        <f t="shared" si="168"/>
        <v>0</v>
      </c>
      <c r="X74" s="3">
        <f t="shared" si="168"/>
        <v>0</v>
      </c>
      <c r="Y74" s="3">
        <f t="shared" si="168"/>
        <v>0</v>
      </c>
      <c r="Z74" s="3">
        <f t="shared" si="168"/>
        <v>0</v>
      </c>
      <c r="AA74" s="3">
        <f t="shared" si="168"/>
        <v>0</v>
      </c>
      <c r="AB74" s="3">
        <f t="shared" si="168"/>
        <v>0</v>
      </c>
      <c r="AC74" s="16">
        <f t="shared" ref="AC74" si="169">SUM(AC34:AC36)/SUM(N34:N36)*N74</f>
        <v>0</v>
      </c>
      <c r="AD74" s="16">
        <f t="shared" ref="AD74" si="170">SUM(AD34:AD36)/SUM(O34:O36)*O74</f>
        <v>0</v>
      </c>
      <c r="AE74" s="3">
        <f t="shared" si="121"/>
        <v>0</v>
      </c>
      <c r="AF74" t="s">
        <v>30</v>
      </c>
    </row>
    <row r="75" spans="1:32" x14ac:dyDescent="0.25">
      <c r="B75" t="s">
        <v>27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2">
        <f t="shared" si="151"/>
        <v>0</v>
      </c>
      <c r="Q75" s="2"/>
      <c r="S75" s="3">
        <f>SUM(S34:S36)/SUM(D34:D36)*D75</f>
        <v>0</v>
      </c>
      <c r="T75" s="3">
        <f>-S74</f>
        <v>0</v>
      </c>
      <c r="U75" s="3">
        <f t="shared" ref="U75:AB75" si="171">-T74</f>
        <v>0</v>
      </c>
      <c r="V75" s="3">
        <f t="shared" si="171"/>
        <v>0</v>
      </c>
      <c r="W75" s="3">
        <f t="shared" si="171"/>
        <v>0</v>
      </c>
      <c r="X75" s="3">
        <f t="shared" si="171"/>
        <v>0</v>
      </c>
      <c r="Y75" s="3">
        <f t="shared" si="171"/>
        <v>0</v>
      </c>
      <c r="Z75" s="3">
        <f t="shared" si="171"/>
        <v>0</v>
      </c>
      <c r="AA75" s="3">
        <f t="shared" si="171"/>
        <v>0</v>
      </c>
      <c r="AB75" s="3">
        <f t="shared" si="171"/>
        <v>0</v>
      </c>
      <c r="AC75" s="16">
        <f t="shared" ref="AC75" si="172">-AB74</f>
        <v>0</v>
      </c>
      <c r="AD75" s="16">
        <f t="shared" ref="AD75" si="173">-AC74</f>
        <v>0</v>
      </c>
      <c r="AE75" s="3">
        <f t="shared" si="121"/>
        <v>0</v>
      </c>
      <c r="AF75" t="s">
        <v>31</v>
      </c>
    </row>
    <row r="76" spans="1:32" x14ac:dyDescent="0.25">
      <c r="B76" t="s">
        <v>25</v>
      </c>
      <c r="D76" s="12">
        <f t="shared" ref="D76" si="174">D74+D75</f>
        <v>0</v>
      </c>
      <c r="E76" s="12">
        <f t="shared" ref="E76" si="175">E74+E75</f>
        <v>0</v>
      </c>
      <c r="F76" s="12">
        <f t="shared" ref="F76" si="176">F74+F75</f>
        <v>0</v>
      </c>
      <c r="G76" s="12">
        <f t="shared" ref="G76" si="177">G74+G75</f>
        <v>0</v>
      </c>
      <c r="H76" s="12">
        <f t="shared" ref="H76" si="178">H74+H75</f>
        <v>0</v>
      </c>
      <c r="I76" s="12">
        <f t="shared" ref="I76" si="179">I74+I75</f>
        <v>0</v>
      </c>
      <c r="J76" s="12">
        <f t="shared" ref="J76" si="180">J74+J75</f>
        <v>0</v>
      </c>
      <c r="K76" s="12">
        <f t="shared" ref="K76" si="181">K74+K75</f>
        <v>0</v>
      </c>
      <c r="L76" s="12">
        <f t="shared" ref="L76" si="182">L74+L75</f>
        <v>0</v>
      </c>
      <c r="M76" s="12">
        <f t="shared" ref="M76" si="183">M74+M75</f>
        <v>0</v>
      </c>
      <c r="N76" s="12">
        <f t="shared" ref="N76" si="184">N74+N75</f>
        <v>0</v>
      </c>
      <c r="O76" s="12">
        <f t="shared" ref="O76" si="185">O74+O75</f>
        <v>0</v>
      </c>
      <c r="P76" s="2">
        <f t="shared" si="151"/>
        <v>0</v>
      </c>
      <c r="Q76" s="2"/>
      <c r="R76" s="144">
        <f>ROUND(SUM(AE34:AE36)/SUM(P34:P36),5)</f>
        <v>4.709E-2</v>
      </c>
      <c r="S76" s="3">
        <f t="shared" ref="S76:AD76" si="186">$R76*D76</f>
        <v>0</v>
      </c>
      <c r="T76" s="3">
        <f t="shared" si="186"/>
        <v>0</v>
      </c>
      <c r="U76" s="3">
        <f t="shared" si="186"/>
        <v>0</v>
      </c>
      <c r="V76" s="3">
        <f t="shared" si="186"/>
        <v>0</v>
      </c>
      <c r="W76" s="3">
        <f t="shared" si="186"/>
        <v>0</v>
      </c>
      <c r="X76" s="3">
        <f t="shared" si="186"/>
        <v>0</v>
      </c>
      <c r="Y76" s="3">
        <f t="shared" si="186"/>
        <v>0</v>
      </c>
      <c r="Z76" s="3">
        <f t="shared" si="186"/>
        <v>0</v>
      </c>
      <c r="AA76" s="3">
        <f t="shared" si="186"/>
        <v>0</v>
      </c>
      <c r="AB76" s="3">
        <f t="shared" si="186"/>
        <v>0</v>
      </c>
      <c r="AC76" s="16">
        <f t="shared" si="186"/>
        <v>0</v>
      </c>
      <c r="AD76" s="16">
        <f t="shared" si="186"/>
        <v>0</v>
      </c>
      <c r="AE76" s="3">
        <f t="shared" si="121"/>
        <v>0</v>
      </c>
      <c r="AF76" t="s">
        <v>33</v>
      </c>
    </row>
    <row r="77" spans="1:32" x14ac:dyDescent="0.25">
      <c r="A77" t="s">
        <v>41</v>
      </c>
      <c r="B77" t="s">
        <v>26</v>
      </c>
      <c r="D77" s="8">
        <v>1751889</v>
      </c>
      <c r="E77" s="8">
        <v>1589110</v>
      </c>
      <c r="F77" s="8">
        <v>1794495</v>
      </c>
      <c r="G77" s="8">
        <v>1610154</v>
      </c>
      <c r="H77" s="8">
        <v>2605883</v>
      </c>
      <c r="I77" s="8">
        <v>4468226</v>
      </c>
      <c r="J77" s="8">
        <v>6073402</v>
      </c>
      <c r="K77" s="8">
        <v>7496736</v>
      </c>
      <c r="L77" s="8">
        <v>6714341</v>
      </c>
      <c r="M77" s="8">
        <v>5915234</v>
      </c>
      <c r="N77" s="8">
        <v>2636657</v>
      </c>
      <c r="O77" s="8">
        <v>1936911</v>
      </c>
      <c r="P77" s="2">
        <f t="shared" si="151"/>
        <v>44593038</v>
      </c>
      <c r="Q77" s="2"/>
      <c r="S77" s="3">
        <f>SUM(S45:S47)/SUM(D45:D47)*D77</f>
        <v>163554.66777669013</v>
      </c>
      <c r="T77" s="3">
        <f>SUM(T45:T47)/SUM(E45:E47)*E77</f>
        <v>147837.26557690054</v>
      </c>
      <c r="U77" s="3">
        <f t="shared" ref="U77:AB77" si="187">SUM(U45:U47)/SUM(F45:F47)*F77</f>
        <v>167663.51323484635</v>
      </c>
      <c r="V77" s="3">
        <f t="shared" si="187"/>
        <v>155281.67253627535</v>
      </c>
      <c r="W77" s="3">
        <f t="shared" si="187"/>
        <v>243508.70805156606</v>
      </c>
      <c r="X77" s="3">
        <f t="shared" si="187"/>
        <v>408045.78249268827</v>
      </c>
      <c r="Y77" s="3">
        <f t="shared" si="187"/>
        <v>543341.68719107891</v>
      </c>
      <c r="Z77" s="3">
        <f t="shared" si="187"/>
        <v>654749.42344467377</v>
      </c>
      <c r="AA77" s="3">
        <f t="shared" si="187"/>
        <v>585755.4754362161</v>
      </c>
      <c r="AB77" s="3">
        <f t="shared" si="187"/>
        <v>529549.96978499985</v>
      </c>
      <c r="AC77" s="16">
        <f t="shared" ref="AC77" si="188">SUM(AC45:AC47)/SUM(N45:N47)*N77</f>
        <v>246973.98286988278</v>
      </c>
      <c r="AD77" s="16">
        <f t="shared" ref="AD77" si="189">SUM(AD45:AD47)/SUM(O45:O47)*O77</f>
        <v>178861.12798725016</v>
      </c>
      <c r="AE77" s="3">
        <f t="shared" si="121"/>
        <v>4025123.2763830684</v>
      </c>
      <c r="AF77" t="s">
        <v>30</v>
      </c>
    </row>
    <row r="78" spans="1:32" x14ac:dyDescent="0.25">
      <c r="B78" t="s">
        <v>27</v>
      </c>
      <c r="D78" s="8">
        <v>-1779535</v>
      </c>
      <c r="E78" s="8">
        <v>-1751889</v>
      </c>
      <c r="F78" s="8">
        <v>-1589110</v>
      </c>
      <c r="G78" s="8">
        <v>-1794495</v>
      </c>
      <c r="H78" s="8">
        <v>-1610154</v>
      </c>
      <c r="I78" s="8">
        <v>-2605883</v>
      </c>
      <c r="J78" s="8">
        <v>-4468226</v>
      </c>
      <c r="K78" s="8">
        <v>-6073402</v>
      </c>
      <c r="L78" s="8">
        <v>-7496736</v>
      </c>
      <c r="M78" s="8">
        <v>-6714341</v>
      </c>
      <c r="N78" s="8">
        <v>-5915234</v>
      </c>
      <c r="O78" s="8">
        <v>-2636657</v>
      </c>
      <c r="P78" s="2">
        <f t="shared" si="151"/>
        <v>-44435662</v>
      </c>
      <c r="Q78" s="2"/>
      <c r="S78" s="3">
        <f>SUM(S45:S47)/SUM(D45:D47)*D78</f>
        <v>-166135.67167896611</v>
      </c>
      <c r="T78" s="3">
        <f>-S77</f>
        <v>-163554.66777669013</v>
      </c>
      <c r="U78" s="3">
        <f t="shared" ref="U78:AB78" si="190">-T77</f>
        <v>-147837.26557690054</v>
      </c>
      <c r="V78" s="3">
        <f t="shared" si="190"/>
        <v>-167663.51323484635</v>
      </c>
      <c r="W78" s="3">
        <f t="shared" si="190"/>
        <v>-155281.67253627535</v>
      </c>
      <c r="X78" s="3">
        <f t="shared" si="190"/>
        <v>-243508.70805156606</v>
      </c>
      <c r="Y78" s="3">
        <f t="shared" si="190"/>
        <v>-408045.78249268827</v>
      </c>
      <c r="Z78" s="3">
        <f t="shared" si="190"/>
        <v>-543341.68719107891</v>
      </c>
      <c r="AA78" s="3">
        <f t="shared" si="190"/>
        <v>-654749.42344467377</v>
      </c>
      <c r="AB78" s="3">
        <f t="shared" si="190"/>
        <v>-585755.4754362161</v>
      </c>
      <c r="AC78" s="16">
        <f t="shared" ref="AC78" si="191">-AB77</f>
        <v>-529549.96978499985</v>
      </c>
      <c r="AD78" s="16">
        <f t="shared" ref="AD78" si="192">-AC77</f>
        <v>-246973.98286988278</v>
      </c>
      <c r="AE78" s="3">
        <f t="shared" si="121"/>
        <v>-4012397.8200747841</v>
      </c>
      <c r="AF78" t="s">
        <v>31</v>
      </c>
    </row>
    <row r="79" spans="1:32" x14ac:dyDescent="0.25">
      <c r="B79" t="s">
        <v>25</v>
      </c>
      <c r="D79" s="12">
        <f t="shared" ref="D79" si="193">D77+D78</f>
        <v>-27646</v>
      </c>
      <c r="E79" s="12">
        <f t="shared" ref="E79" si="194">E77+E78</f>
        <v>-162779</v>
      </c>
      <c r="F79" s="12">
        <f t="shared" ref="F79" si="195">F77+F78</f>
        <v>205385</v>
      </c>
      <c r="G79" s="12">
        <f t="shared" ref="G79" si="196">G77+G78</f>
        <v>-184341</v>
      </c>
      <c r="H79" s="12">
        <f t="shared" ref="H79" si="197">H77+H78</f>
        <v>995729</v>
      </c>
      <c r="I79" s="12">
        <f t="shared" ref="I79" si="198">I77+I78</f>
        <v>1862343</v>
      </c>
      <c r="J79" s="12">
        <f t="shared" ref="J79" si="199">J77+J78</f>
        <v>1605176</v>
      </c>
      <c r="K79" s="12">
        <f t="shared" ref="K79" si="200">K77+K78</f>
        <v>1423334</v>
      </c>
      <c r="L79" s="12">
        <f t="shared" ref="L79" si="201">L77+L78</f>
        <v>-782395</v>
      </c>
      <c r="M79" s="12">
        <f t="shared" ref="M79" si="202">M77+M78</f>
        <v>-799107</v>
      </c>
      <c r="N79" s="12">
        <f t="shared" ref="N79" si="203">N77+N78</f>
        <v>-3278577</v>
      </c>
      <c r="O79" s="12">
        <f t="shared" ref="O79" si="204">O77+O78</f>
        <v>-699746</v>
      </c>
      <c r="P79" s="2">
        <f t="shared" si="151"/>
        <v>157376</v>
      </c>
      <c r="Q79" s="2"/>
      <c r="R79" s="144">
        <f>ROUND(SUM(AE45:AE47)/SUM(P45:P47),5)</f>
        <v>9.0179999999999996E-2</v>
      </c>
      <c r="S79" s="3">
        <f t="shared" ref="S79:AD79" si="205">$R79*D79</f>
        <v>-2493.1162799999997</v>
      </c>
      <c r="T79" s="3">
        <f t="shared" si="205"/>
        <v>-14679.41022</v>
      </c>
      <c r="U79" s="3">
        <f t="shared" si="205"/>
        <v>18521.619299999998</v>
      </c>
      <c r="V79" s="3">
        <f t="shared" si="205"/>
        <v>-16623.87138</v>
      </c>
      <c r="W79" s="3">
        <f t="shared" si="205"/>
        <v>89794.841220000002</v>
      </c>
      <c r="X79" s="3">
        <f t="shared" si="205"/>
        <v>167946.09174</v>
      </c>
      <c r="Y79" s="3">
        <f t="shared" si="205"/>
        <v>144754.77168000001</v>
      </c>
      <c r="Z79" s="3">
        <f t="shared" si="205"/>
        <v>128356.26011999999</v>
      </c>
      <c r="AA79" s="3">
        <f t="shared" si="205"/>
        <v>-70556.381099999999</v>
      </c>
      <c r="AB79" s="3">
        <f t="shared" si="205"/>
        <v>-72063.469259999998</v>
      </c>
      <c r="AC79" s="16">
        <f t="shared" si="205"/>
        <v>-295662.07386</v>
      </c>
      <c r="AD79" s="16">
        <f t="shared" si="205"/>
        <v>-63103.094279999998</v>
      </c>
      <c r="AE79" s="3">
        <f t="shared" si="121"/>
        <v>14192.167680000035</v>
      </c>
      <c r="AF79" t="s">
        <v>33</v>
      </c>
    </row>
    <row r="80" spans="1:32" x14ac:dyDescent="0.25">
      <c r="A80" t="s">
        <v>42</v>
      </c>
      <c r="B80" t="s">
        <v>26</v>
      </c>
      <c r="D80" s="8">
        <v>141509</v>
      </c>
      <c r="E80" s="8">
        <v>127620</v>
      </c>
      <c r="F80" s="8">
        <v>129302</v>
      </c>
      <c r="G80" s="8">
        <v>145206</v>
      </c>
      <c r="H80" s="8">
        <v>230046</v>
      </c>
      <c r="I80" s="8">
        <v>238730</v>
      </c>
      <c r="J80" s="8">
        <v>446145</v>
      </c>
      <c r="K80" s="8">
        <v>629183</v>
      </c>
      <c r="L80" s="8">
        <v>483784</v>
      </c>
      <c r="M80" s="8">
        <v>283923</v>
      </c>
      <c r="N80" s="8">
        <v>178871</v>
      </c>
      <c r="O80" s="8">
        <v>154834</v>
      </c>
      <c r="P80" s="2">
        <f t="shared" si="151"/>
        <v>3189153</v>
      </c>
      <c r="Q80" s="2"/>
      <c r="S80" s="3">
        <f>SUM(S50:S52)/SUM(D50:D52)*D80</f>
        <v>12917.254583129627</v>
      </c>
      <c r="T80" s="3">
        <f>SUM(T50:T52)/SUM(E50:E52)*E80</f>
        <v>11705.643921621464</v>
      </c>
      <c r="U80" s="3">
        <f t="shared" ref="U80:AB80" si="206">SUM(U50:U52)/SUM(F50:F52)*F80</f>
        <v>11915.642923281961</v>
      </c>
      <c r="V80" s="3">
        <f t="shared" si="206"/>
        <v>13462.448150773722</v>
      </c>
      <c r="W80" s="3">
        <f t="shared" si="206"/>
        <v>21233.120911727703</v>
      </c>
      <c r="X80" s="3">
        <f t="shared" si="206"/>
        <v>22004.674361607544</v>
      </c>
      <c r="Y80" s="3">
        <f t="shared" si="206"/>
        <v>39923.109317544651</v>
      </c>
      <c r="Z80" s="3">
        <f t="shared" si="206"/>
        <v>55112.82823128056</v>
      </c>
      <c r="AA80" s="3">
        <f t="shared" si="206"/>
        <v>43443.876020361051</v>
      </c>
      <c r="AB80" s="3">
        <f t="shared" si="206"/>
        <v>26677.976516972038</v>
      </c>
      <c r="AC80" s="16">
        <f t="shared" ref="AC80" si="207">SUM(AC50:AC52)/SUM(N50:N52)*N80</f>
        <v>16864.974479308279</v>
      </c>
      <c r="AD80" s="16">
        <f t="shared" ref="AD80" si="208">SUM(AD50:AD52)/SUM(O50:O52)*O80</f>
        <v>14327.56151441865</v>
      </c>
      <c r="AE80" s="3">
        <f t="shared" si="121"/>
        <v>289589.11093202722</v>
      </c>
      <c r="AF80" t="s">
        <v>30</v>
      </c>
    </row>
    <row r="81" spans="1:34" x14ac:dyDescent="0.25">
      <c r="B81" t="s">
        <v>27</v>
      </c>
      <c r="D81" s="8">
        <v>-134463</v>
      </c>
      <c r="E81" s="8">
        <v>-141509</v>
      </c>
      <c r="F81" s="8">
        <v>-127620</v>
      </c>
      <c r="G81" s="8">
        <v>-129302</v>
      </c>
      <c r="H81" s="8">
        <v>-145206</v>
      </c>
      <c r="I81" s="8">
        <v>-230046</v>
      </c>
      <c r="J81" s="8">
        <v>-238730</v>
      </c>
      <c r="K81" s="8">
        <v>-446145</v>
      </c>
      <c r="L81" s="8">
        <v>-629183</v>
      </c>
      <c r="M81" s="8">
        <v>-483784</v>
      </c>
      <c r="N81" s="8">
        <v>-283923</v>
      </c>
      <c r="O81" s="8">
        <v>-178871</v>
      </c>
      <c r="P81" s="2">
        <f t="shared" si="151"/>
        <v>-3168782</v>
      </c>
      <c r="Q81" s="2"/>
      <c r="S81" s="3">
        <f>SUM(S50:S52)/SUM(D50:D52)*D81</f>
        <v>-12274.080115125957</v>
      </c>
      <c r="T81" s="3">
        <f>-S80</f>
        <v>-12917.254583129627</v>
      </c>
      <c r="U81" s="3">
        <f t="shared" ref="U81:AB81" si="209">-T80</f>
        <v>-11705.643921621464</v>
      </c>
      <c r="V81" s="3">
        <f t="shared" si="209"/>
        <v>-11915.642923281961</v>
      </c>
      <c r="W81" s="3">
        <f t="shared" si="209"/>
        <v>-13462.448150773722</v>
      </c>
      <c r="X81" s="3">
        <f t="shared" si="209"/>
        <v>-21233.120911727703</v>
      </c>
      <c r="Y81" s="3">
        <f t="shared" si="209"/>
        <v>-22004.674361607544</v>
      </c>
      <c r="Z81" s="3">
        <f t="shared" si="209"/>
        <v>-39923.109317544651</v>
      </c>
      <c r="AA81" s="3">
        <f t="shared" si="209"/>
        <v>-55112.82823128056</v>
      </c>
      <c r="AB81" s="3">
        <f t="shared" si="209"/>
        <v>-43443.876020361051</v>
      </c>
      <c r="AC81" s="16">
        <f t="shared" ref="AC81" si="210">-AB80</f>
        <v>-26677.976516972038</v>
      </c>
      <c r="AD81" s="16">
        <f t="shared" ref="AD81" si="211">-AC80</f>
        <v>-16864.974479308279</v>
      </c>
      <c r="AE81" s="3">
        <f t="shared" si="121"/>
        <v>-287535.62953273457</v>
      </c>
      <c r="AF81" t="s">
        <v>31</v>
      </c>
    </row>
    <row r="82" spans="1:34" x14ac:dyDescent="0.25">
      <c r="B82" t="s">
        <v>25</v>
      </c>
      <c r="D82" s="4">
        <f t="shared" ref="D82" si="212">D80+D81</f>
        <v>7046</v>
      </c>
      <c r="E82" s="4">
        <f t="shared" ref="E82" si="213">E80+E81</f>
        <v>-13889</v>
      </c>
      <c r="F82" s="4">
        <f t="shared" ref="F82" si="214">F80+F81</f>
        <v>1682</v>
      </c>
      <c r="G82" s="4">
        <f t="shared" ref="G82" si="215">G80+G81</f>
        <v>15904</v>
      </c>
      <c r="H82" s="4">
        <f t="shared" ref="H82" si="216">H80+H81</f>
        <v>84840</v>
      </c>
      <c r="I82" s="4">
        <f t="shared" ref="I82" si="217">I80+I81</f>
        <v>8684</v>
      </c>
      <c r="J82" s="4">
        <f t="shared" ref="J82" si="218">J80+J81</f>
        <v>207415</v>
      </c>
      <c r="K82" s="4">
        <f t="shared" ref="K82" si="219">K80+K81</f>
        <v>183038</v>
      </c>
      <c r="L82" s="4">
        <f t="shared" ref="L82" si="220">L80+L81</f>
        <v>-145399</v>
      </c>
      <c r="M82" s="4">
        <f t="shared" ref="M82" si="221">M80+M81</f>
        <v>-199861</v>
      </c>
      <c r="N82" s="12">
        <f t="shared" ref="N82" si="222">N80+N81</f>
        <v>-105052</v>
      </c>
      <c r="O82" s="12">
        <f t="shared" ref="O82" si="223">O80+O81</f>
        <v>-24037</v>
      </c>
      <c r="P82" s="2">
        <f t="shared" si="151"/>
        <v>20371</v>
      </c>
      <c r="Q82" s="2"/>
      <c r="R82" s="144">
        <f>ROUND(SUM(AE50:AE52)/SUM(P50:P52),5)</f>
        <v>9.0630000000000002E-2</v>
      </c>
      <c r="S82" s="3">
        <f t="shared" ref="S82:AD82" si="224">$R82*D82</f>
        <v>638.57898</v>
      </c>
      <c r="T82" s="3">
        <f t="shared" si="224"/>
        <v>-1258.76007</v>
      </c>
      <c r="U82" s="3">
        <f t="shared" si="224"/>
        <v>152.43966</v>
      </c>
      <c r="V82" s="3">
        <f t="shared" si="224"/>
        <v>1441.37952</v>
      </c>
      <c r="W82" s="3">
        <f t="shared" si="224"/>
        <v>7689.0492000000004</v>
      </c>
      <c r="X82" s="3">
        <f t="shared" si="224"/>
        <v>787.03092000000004</v>
      </c>
      <c r="Y82" s="3">
        <f t="shared" si="224"/>
        <v>18798.02145</v>
      </c>
      <c r="Z82" s="3">
        <f t="shared" si="224"/>
        <v>16588.733940000002</v>
      </c>
      <c r="AA82" s="3">
        <f t="shared" si="224"/>
        <v>-13177.51137</v>
      </c>
      <c r="AB82" s="3">
        <f t="shared" si="224"/>
        <v>-18113.402430000002</v>
      </c>
      <c r="AC82" s="16">
        <f t="shared" si="224"/>
        <v>-9520.86276</v>
      </c>
      <c r="AD82" s="16">
        <f t="shared" si="224"/>
        <v>-2178.4733099999999</v>
      </c>
      <c r="AE82" s="3">
        <f t="shared" si="121"/>
        <v>1846.2237299999956</v>
      </c>
      <c r="AF82" t="s">
        <v>33</v>
      </c>
    </row>
    <row r="83" spans="1:34" x14ac:dyDescent="0.25">
      <c r="D83" s="4">
        <f>D58+D61+D64+D67+D70+D73+D76+D79+D82</f>
        <v>-7795025</v>
      </c>
      <c r="E83" s="4">
        <f t="shared" ref="E83:O83" si="225">E58+E61+E64+E67+E70+E73+E76+E79+E82</f>
        <v>-14994089</v>
      </c>
      <c r="F83" s="4">
        <f t="shared" si="225"/>
        <v>-1576003</v>
      </c>
      <c r="G83" s="4">
        <f t="shared" si="225"/>
        <v>-27251858</v>
      </c>
      <c r="H83" s="4">
        <f t="shared" si="225"/>
        <v>4784132</v>
      </c>
      <c r="I83" s="4">
        <f t="shared" si="225"/>
        <v>5992258</v>
      </c>
      <c r="J83" s="4">
        <f t="shared" si="225"/>
        <v>37598155</v>
      </c>
      <c r="K83" s="4">
        <f t="shared" si="225"/>
        <v>-7374174</v>
      </c>
      <c r="L83" s="4">
        <f t="shared" si="225"/>
        <v>-37534740</v>
      </c>
      <c r="M83" s="4">
        <f t="shared" si="225"/>
        <v>39842270</v>
      </c>
      <c r="N83" s="4">
        <f t="shared" si="225"/>
        <v>24053798</v>
      </c>
      <c r="O83" s="4">
        <f t="shared" si="225"/>
        <v>780739</v>
      </c>
      <c r="P83" s="2">
        <f t="shared" si="151"/>
        <v>16525463</v>
      </c>
    </row>
    <row r="84" spans="1:34" x14ac:dyDescent="0.25">
      <c r="A84" t="s">
        <v>34</v>
      </c>
      <c r="B84" t="s">
        <v>28</v>
      </c>
      <c r="D84" s="8">
        <v>19498541</v>
      </c>
      <c r="E84" s="8">
        <v>6431709</v>
      </c>
      <c r="F84" s="8">
        <v>-4123133</v>
      </c>
      <c r="G84" s="8">
        <v>2926881</v>
      </c>
      <c r="H84" s="8">
        <v>1333568</v>
      </c>
      <c r="I84" s="8">
        <v>863987</v>
      </c>
      <c r="J84" s="8">
        <v>1053624</v>
      </c>
      <c r="K84" s="8">
        <v>-9486311</v>
      </c>
      <c r="L84" s="8">
        <v>-6350749</v>
      </c>
      <c r="M84" s="8">
        <v>895338</v>
      </c>
      <c r="N84" s="8">
        <v>3800606</v>
      </c>
      <c r="O84" s="8">
        <v>14064425</v>
      </c>
      <c r="P84" s="2">
        <f t="shared" si="151"/>
        <v>30908486</v>
      </c>
      <c r="Q84" s="2"/>
      <c r="R84" s="144">
        <f>ROUND((Q4*R4+Q5*R5+Q6*R6)/SUM(Q4:Q6),5)</f>
        <v>9.6790000000000001E-2</v>
      </c>
      <c r="S84" s="3">
        <f t="shared" ref="S84:AD86" si="226">$R84*D84</f>
        <v>1887263.78339</v>
      </c>
      <c r="T84" s="3">
        <f t="shared" si="226"/>
        <v>622525.11410999997</v>
      </c>
      <c r="U84" s="3">
        <f t="shared" si="226"/>
        <v>-399078.04307000001</v>
      </c>
      <c r="V84" s="3">
        <f t="shared" si="226"/>
        <v>283292.81199000002</v>
      </c>
      <c r="W84" s="3">
        <f t="shared" si="226"/>
        <v>129076.04672</v>
      </c>
      <c r="X84" s="3">
        <f t="shared" si="226"/>
        <v>83625.301730000007</v>
      </c>
      <c r="Y84" s="3">
        <f t="shared" si="226"/>
        <v>101980.26696000001</v>
      </c>
      <c r="Z84" s="3">
        <f t="shared" si="226"/>
        <v>-918180.04168999998</v>
      </c>
      <c r="AA84" s="3">
        <f t="shared" si="226"/>
        <v>-614688.99571000005</v>
      </c>
      <c r="AB84" s="3">
        <f t="shared" si="226"/>
        <v>86659.765020000006</v>
      </c>
      <c r="AC84" s="16">
        <f t="shared" si="226"/>
        <v>367860.65474000003</v>
      </c>
      <c r="AD84" s="16">
        <f t="shared" si="226"/>
        <v>1361295.69575</v>
      </c>
      <c r="AE84" s="3">
        <f t="shared" si="121"/>
        <v>2991632.3599399999</v>
      </c>
    </row>
    <row r="85" spans="1:34" x14ac:dyDescent="0.25">
      <c r="A85" t="s">
        <v>36</v>
      </c>
      <c r="B85" t="s">
        <v>28</v>
      </c>
      <c r="D85" s="8">
        <v>2377622</v>
      </c>
      <c r="E85" s="8">
        <v>779881</v>
      </c>
      <c r="F85" s="8">
        <v>-504172</v>
      </c>
      <c r="G85" s="8">
        <v>228873</v>
      </c>
      <c r="H85" s="8">
        <v>174611</v>
      </c>
      <c r="I85" s="8">
        <v>141607</v>
      </c>
      <c r="J85" s="8">
        <v>154852</v>
      </c>
      <c r="K85" s="8">
        <v>-1384622</v>
      </c>
      <c r="L85" s="8">
        <v>-932388</v>
      </c>
      <c r="M85" s="8">
        <v>33554</v>
      </c>
      <c r="N85" s="8">
        <v>297171</v>
      </c>
      <c r="O85" s="8">
        <v>1722860</v>
      </c>
      <c r="P85" s="2">
        <f t="shared" si="151"/>
        <v>3089849</v>
      </c>
      <c r="Q85" s="2"/>
      <c r="R85" s="144">
        <f>ROUND((Q12*R12+Q13*R13)/SUM(Q12:Q13),5)</f>
        <v>9.2380000000000004E-2</v>
      </c>
      <c r="S85" s="3">
        <f t="shared" si="226"/>
        <v>219644.72036000001</v>
      </c>
      <c r="T85" s="3">
        <f t="shared" si="226"/>
        <v>72045.406780000005</v>
      </c>
      <c r="U85" s="3">
        <f t="shared" si="226"/>
        <v>-46575.409360000005</v>
      </c>
      <c r="V85" s="3">
        <f t="shared" si="226"/>
        <v>21143.28774</v>
      </c>
      <c r="W85" s="3">
        <f t="shared" si="226"/>
        <v>16130.564180000001</v>
      </c>
      <c r="X85" s="3">
        <f t="shared" si="226"/>
        <v>13081.65466</v>
      </c>
      <c r="Y85" s="3">
        <f t="shared" si="226"/>
        <v>14305.22776</v>
      </c>
      <c r="Z85" s="3">
        <f t="shared" si="226"/>
        <v>-127911.38036000001</v>
      </c>
      <c r="AA85" s="3">
        <f t="shared" si="226"/>
        <v>-86134.00344</v>
      </c>
      <c r="AB85" s="3">
        <f t="shared" si="226"/>
        <v>3099.7185200000004</v>
      </c>
      <c r="AC85" s="16">
        <f t="shared" si="226"/>
        <v>27452.65698</v>
      </c>
      <c r="AD85" s="16">
        <f t="shared" si="226"/>
        <v>159157.80680000002</v>
      </c>
      <c r="AE85" s="3">
        <f t="shared" si="121"/>
        <v>285440.25061999995</v>
      </c>
    </row>
    <row r="86" spans="1:34" x14ac:dyDescent="0.25">
      <c r="A86" t="s">
        <v>43</v>
      </c>
      <c r="B86" t="s">
        <v>28</v>
      </c>
      <c r="D86" s="8">
        <v>1193560</v>
      </c>
      <c r="E86" s="8">
        <v>381370</v>
      </c>
      <c r="F86" s="8">
        <v>-249547</v>
      </c>
      <c r="G86" s="8">
        <v>17084</v>
      </c>
      <c r="H86" s="8">
        <v>174962</v>
      </c>
      <c r="I86" s="8">
        <v>180556</v>
      </c>
      <c r="J86" s="8">
        <v>177618</v>
      </c>
      <c r="K86" s="8">
        <v>-1584203</v>
      </c>
      <c r="L86" s="8">
        <v>-1050939</v>
      </c>
      <c r="M86" s="8">
        <v>-81017</v>
      </c>
      <c r="N86" s="8">
        <v>18445</v>
      </c>
      <c r="O86" s="8">
        <v>802815</v>
      </c>
      <c r="P86" s="2">
        <f t="shared" si="151"/>
        <v>-19296</v>
      </c>
      <c r="Q86" s="2"/>
      <c r="R86" s="144">
        <f>ROUND((Q22*R22+Q23*R23)/SUM(Q22:Q23),5)</f>
        <v>7.2289999999999993E-2</v>
      </c>
      <c r="S86" s="3">
        <f t="shared" si="226"/>
        <v>86282.452399999995</v>
      </c>
      <c r="T86" s="3">
        <f t="shared" si="226"/>
        <v>27569.237299999997</v>
      </c>
      <c r="U86" s="3">
        <f t="shared" si="226"/>
        <v>-18039.752629999999</v>
      </c>
      <c r="V86" s="3">
        <f t="shared" si="226"/>
        <v>1235.00236</v>
      </c>
      <c r="W86" s="3">
        <f t="shared" si="226"/>
        <v>12648.002979999999</v>
      </c>
      <c r="X86" s="3">
        <f t="shared" si="226"/>
        <v>13052.393239999999</v>
      </c>
      <c r="Y86" s="3">
        <f t="shared" si="226"/>
        <v>12840.005219999999</v>
      </c>
      <c r="Z86" s="3">
        <f t="shared" si="226"/>
        <v>-114522.03486999999</v>
      </c>
      <c r="AA86" s="3">
        <f t="shared" si="226"/>
        <v>-75972.380309999993</v>
      </c>
      <c r="AB86" s="3">
        <f t="shared" si="226"/>
        <v>-5856.7189299999991</v>
      </c>
      <c r="AC86" s="16">
        <f t="shared" si="226"/>
        <v>1333.3890499999998</v>
      </c>
      <c r="AD86" s="16">
        <f t="shared" si="226"/>
        <v>58035.496349999994</v>
      </c>
      <c r="AE86" s="3">
        <f t="shared" si="121"/>
        <v>-1394.9078400000071</v>
      </c>
    </row>
    <row r="88" spans="1:34" x14ac:dyDescent="0.25">
      <c r="A88" t="s">
        <v>45</v>
      </c>
      <c r="C88" t="s">
        <v>53</v>
      </c>
    </row>
    <row r="89" spans="1:34" x14ac:dyDescent="0.25">
      <c r="A89" t="s">
        <v>46</v>
      </c>
      <c r="D89" s="2">
        <f>SUM(D4:D6,D8:D10)+D58+D61+D84</f>
        <v>277594792.255</v>
      </c>
      <c r="E89" s="2">
        <f t="shared" ref="E89:O89" si="227">SUM(E4:E6,E8:E10)+E58+E61+E84</f>
        <v>232257888.56900001</v>
      </c>
      <c r="F89" s="2">
        <f t="shared" si="227"/>
        <v>214452636.98299998</v>
      </c>
      <c r="G89" s="2">
        <f t="shared" si="227"/>
        <v>191215797.37766001</v>
      </c>
      <c r="H89" s="2">
        <f t="shared" si="227"/>
        <v>161077901.37814</v>
      </c>
      <c r="I89" s="2">
        <f t="shared" si="227"/>
        <v>156442191.13097003</v>
      </c>
      <c r="J89" s="2">
        <f t="shared" si="227"/>
        <v>191181811.26698998</v>
      </c>
      <c r="K89" s="2">
        <f t="shared" si="227"/>
        <v>196163521.12901002</v>
      </c>
      <c r="L89" s="2">
        <f t="shared" si="227"/>
        <v>162478683.412</v>
      </c>
      <c r="M89" s="2">
        <f t="shared" si="227"/>
        <v>174601947.65000001</v>
      </c>
      <c r="N89" s="11">
        <f t="shared" si="227"/>
        <v>234301988.09699997</v>
      </c>
      <c r="O89" s="11">
        <f t="shared" si="227"/>
        <v>288775488.70799994</v>
      </c>
      <c r="P89" s="4">
        <f>SUM(D89:O89)</f>
        <v>2480544647.9567699</v>
      </c>
      <c r="S89" s="3">
        <f>SUM(S3:S10)+S58+S61+S84</f>
        <v>26924277.73067018</v>
      </c>
      <c r="T89" s="3">
        <f t="shared" ref="T89:AD89" si="228">SUM(T3:T10)+T58+T61+T84</f>
        <v>22573998.825766861</v>
      </c>
      <c r="U89" s="3">
        <f t="shared" si="228"/>
        <v>20737722.156319167</v>
      </c>
      <c r="V89" s="3">
        <f t="shared" si="228"/>
        <v>18555122.470160957</v>
      </c>
      <c r="W89" s="3">
        <f t="shared" si="228"/>
        <v>15577460.807999309</v>
      </c>
      <c r="X89" s="3">
        <f t="shared" si="228"/>
        <v>15137942.596572116</v>
      </c>
      <c r="Y89" s="3">
        <f t="shared" si="228"/>
        <v>18240604.848838564</v>
      </c>
      <c r="Z89" s="3">
        <f t="shared" si="228"/>
        <v>18828012.968585175</v>
      </c>
      <c r="AA89" s="3">
        <f t="shared" si="228"/>
        <v>15827599.988025105</v>
      </c>
      <c r="AB89" s="3">
        <f t="shared" si="228"/>
        <v>16709931.342810636</v>
      </c>
      <c r="AC89" s="16">
        <f t="shared" si="228"/>
        <v>22265201.949931737</v>
      </c>
      <c r="AD89" s="16">
        <f t="shared" si="228"/>
        <v>27860189.831439398</v>
      </c>
      <c r="AE89" s="3">
        <f>SUM(S89:AD89)</f>
        <v>239238065.5171192</v>
      </c>
      <c r="AF89" s="3">
        <f>AE89</f>
        <v>239238065.5171192</v>
      </c>
      <c r="AH89" t="s">
        <v>57</v>
      </c>
    </row>
    <row r="90" spans="1:34" x14ac:dyDescent="0.25">
      <c r="A90" t="s">
        <v>47</v>
      </c>
      <c r="D90" s="2">
        <f>SUM(D12:D13,D17:D18)+D64+D67+D85</f>
        <v>58367962.863999993</v>
      </c>
      <c r="E90" s="2">
        <f t="shared" ref="E90:O90" si="229">SUM(E12:E13,E17:E18)+E64+E67+E85</f>
        <v>55980198.283</v>
      </c>
      <c r="F90" s="2">
        <f t="shared" si="229"/>
        <v>52245646.256999999</v>
      </c>
      <c r="G90" s="2">
        <f t="shared" si="229"/>
        <v>40781105.878979996</v>
      </c>
      <c r="H90" s="2">
        <f t="shared" si="229"/>
        <v>40579718.431490004</v>
      </c>
      <c r="I90" s="2">
        <f t="shared" si="229"/>
        <v>43901740.460989997</v>
      </c>
      <c r="J90" s="2">
        <f t="shared" si="229"/>
        <v>51001832.006999999</v>
      </c>
      <c r="K90" s="2">
        <f t="shared" si="229"/>
        <v>48068948.389010005</v>
      </c>
      <c r="L90" s="2">
        <f t="shared" si="229"/>
        <v>45600713.001000002</v>
      </c>
      <c r="M90" s="2">
        <f t="shared" si="229"/>
        <v>50293473.127000004</v>
      </c>
      <c r="N90" s="11">
        <f t="shared" si="229"/>
        <v>52856537.906000003</v>
      </c>
      <c r="O90" s="11">
        <f t="shared" si="229"/>
        <v>60623228.118999995</v>
      </c>
      <c r="P90" s="4">
        <f t="shared" ref="P90:P94" si="230">SUM(D90:O90)</f>
        <v>600301104.7244699</v>
      </c>
      <c r="S90" s="3">
        <f>SUM(S11:S20)+S64+S67+S85</f>
        <v>7477125.6410417594</v>
      </c>
      <c r="T90" s="3">
        <f t="shared" ref="T90:AD90" si="231">SUM(T11:T20)+T64+T67+T85</f>
        <v>7248060.9435202032</v>
      </c>
      <c r="U90" s="3">
        <f t="shared" si="231"/>
        <v>6879322.4350746302</v>
      </c>
      <c r="V90" s="3">
        <f t="shared" si="231"/>
        <v>5557700.6843271283</v>
      </c>
      <c r="W90" s="3">
        <f t="shared" si="231"/>
        <v>5517963.0980814854</v>
      </c>
      <c r="X90" s="3">
        <f t="shared" si="231"/>
        <v>5918315.2180595491</v>
      </c>
      <c r="Y90" s="3">
        <f t="shared" si="231"/>
        <v>6711781.1034006216</v>
      </c>
      <c r="Z90" s="3">
        <f t="shared" si="231"/>
        <v>6398486.2126741232</v>
      </c>
      <c r="AA90" s="3">
        <f t="shared" si="231"/>
        <v>6123324.5439154552</v>
      </c>
      <c r="AB90" s="3">
        <f t="shared" si="231"/>
        <v>6672337.8419697275</v>
      </c>
      <c r="AC90" s="16">
        <f t="shared" si="231"/>
        <v>6971300.4555824939</v>
      </c>
      <c r="AD90" s="16">
        <f t="shared" si="231"/>
        <v>7756308.5403219722</v>
      </c>
      <c r="AE90" s="3">
        <f t="shared" ref="AE90:AE93" si="232">SUM(S90:AD90)</f>
        <v>79232026.717969164</v>
      </c>
    </row>
    <row r="91" spans="1:34" x14ac:dyDescent="0.25">
      <c r="A91" t="s">
        <v>48</v>
      </c>
      <c r="D91" s="2">
        <f>SUM(D22:D23,D28:D29)+D70+D73+D86</f>
        <v>119643730.726</v>
      </c>
      <c r="E91" s="2">
        <f t="shared" ref="E91:O91" si="233">SUM(E22:E23,E28:E29)+E70+E73+E86</f>
        <v>109174467.66600002</v>
      </c>
      <c r="F91" s="2">
        <f t="shared" si="233"/>
        <v>111035876.03500001</v>
      </c>
      <c r="G91" s="2">
        <f t="shared" si="233"/>
        <v>92265117.215080008</v>
      </c>
      <c r="H91" s="2">
        <f t="shared" si="233"/>
        <v>95787771.605000004</v>
      </c>
      <c r="I91" s="2">
        <f t="shared" si="233"/>
        <v>102475626.55900002</v>
      </c>
      <c r="J91" s="2">
        <f t="shared" si="233"/>
        <v>113769548.089</v>
      </c>
      <c r="K91" s="2">
        <f t="shared" si="233"/>
        <v>101712690.30600001</v>
      </c>
      <c r="L91" s="2">
        <f t="shared" si="233"/>
        <v>100030694.08600001</v>
      </c>
      <c r="M91" s="2">
        <f t="shared" si="233"/>
        <v>122543577.47599998</v>
      </c>
      <c r="N91" s="11">
        <f t="shared" si="233"/>
        <v>97793469.018000007</v>
      </c>
      <c r="O91" s="11">
        <f t="shared" si="233"/>
        <v>106556601.552</v>
      </c>
      <c r="P91" s="4">
        <f t="shared" si="230"/>
        <v>1272789170.3330801</v>
      </c>
      <c r="S91" s="3">
        <f>SUM(S21:S32)+S70+S73+S86</f>
        <v>12058877.787205236</v>
      </c>
      <c r="T91" s="3">
        <f t="shared" ref="T91:AD91" si="234">SUM(T21:T32)+T70+T73+T86</f>
        <v>11146285.282915449</v>
      </c>
      <c r="U91" s="3">
        <f t="shared" si="234"/>
        <v>11312553.670336638</v>
      </c>
      <c r="V91" s="3">
        <f t="shared" si="234"/>
        <v>9687529.8884053361</v>
      </c>
      <c r="W91" s="3">
        <f t="shared" si="234"/>
        <v>9843052.3079594001</v>
      </c>
      <c r="X91" s="3">
        <f t="shared" si="234"/>
        <v>10568442.358532378</v>
      </c>
      <c r="Y91" s="3">
        <f t="shared" si="234"/>
        <v>11523835.339410979</v>
      </c>
      <c r="Z91" s="3">
        <f t="shared" si="234"/>
        <v>10701031.981788119</v>
      </c>
      <c r="AA91" s="3">
        <f t="shared" si="234"/>
        <v>10524097.891972618</v>
      </c>
      <c r="AB91" s="3">
        <f t="shared" si="234"/>
        <v>12352689.12130072</v>
      </c>
      <c r="AC91" s="16">
        <f t="shared" si="234"/>
        <v>10159614.423105257</v>
      </c>
      <c r="AD91" s="16">
        <f t="shared" si="234"/>
        <v>10829693.52502354</v>
      </c>
      <c r="AE91" s="3">
        <f t="shared" si="232"/>
        <v>130707703.57795566</v>
      </c>
      <c r="AF91" s="3">
        <f>AE90+AE91+AE93</f>
        <v>223195802.65407655</v>
      </c>
      <c r="AH91" t="s">
        <v>58</v>
      </c>
    </row>
    <row r="92" spans="1:34" x14ac:dyDescent="0.25">
      <c r="A92" t="s">
        <v>49</v>
      </c>
      <c r="D92" s="2">
        <f>SUM(D34:D36)+D76</f>
        <v>94913448.660000011</v>
      </c>
      <c r="E92" s="2">
        <f t="shared" ref="E92:O92" si="235">SUM(E34:E36)+E76</f>
        <v>82531719.569999978</v>
      </c>
      <c r="F92" s="2">
        <f t="shared" si="235"/>
        <v>81358298.069999978</v>
      </c>
      <c r="G92" s="2">
        <f t="shared" si="235"/>
        <v>75453878.390000001</v>
      </c>
      <c r="H92" s="2">
        <f t="shared" si="235"/>
        <v>73196311.51000002</v>
      </c>
      <c r="I92" s="2">
        <f t="shared" si="235"/>
        <v>63029088.971000008</v>
      </c>
      <c r="J92" s="2">
        <f t="shared" si="235"/>
        <v>80841776.637999982</v>
      </c>
      <c r="K92" s="2">
        <f t="shared" si="235"/>
        <v>90752493.409999982</v>
      </c>
      <c r="L92" s="2">
        <f t="shared" si="235"/>
        <v>86063755.541999996</v>
      </c>
      <c r="M92" s="2">
        <f t="shared" si="235"/>
        <v>86495234.502999976</v>
      </c>
      <c r="N92" s="11">
        <f t="shared" si="235"/>
        <v>81011134.030000016</v>
      </c>
      <c r="O92" s="11">
        <f t="shared" si="235"/>
        <v>83424071.429999992</v>
      </c>
      <c r="P92" s="4">
        <f t="shared" si="230"/>
        <v>979071210.72399986</v>
      </c>
      <c r="S92" s="3">
        <f>SUM(S33:S40)+S76</f>
        <v>5865869.8260256611</v>
      </c>
      <c r="T92" s="3">
        <f t="shared" ref="T92:AD92" si="236">SUM(T33:T40)+T76</f>
        <v>5301214.423881026</v>
      </c>
      <c r="U92" s="3">
        <f t="shared" si="236"/>
        <v>5298231.240574209</v>
      </c>
      <c r="V92" s="3">
        <f t="shared" si="236"/>
        <v>4971195.382624099</v>
      </c>
      <c r="W92" s="3">
        <f t="shared" si="236"/>
        <v>4833101.3640169008</v>
      </c>
      <c r="X92" s="3">
        <f t="shared" si="236"/>
        <v>4454293.4323434904</v>
      </c>
      <c r="Y92" s="3">
        <f t="shared" si="236"/>
        <v>5235895.7798432196</v>
      </c>
      <c r="Z92" s="3">
        <f t="shared" si="236"/>
        <v>5649728.9343978995</v>
      </c>
      <c r="AA92" s="3">
        <f t="shared" si="236"/>
        <v>5442156.9737109784</v>
      </c>
      <c r="AB92" s="3">
        <f t="shared" si="236"/>
        <v>5466225.266442569</v>
      </c>
      <c r="AC92" s="16">
        <f t="shared" si="236"/>
        <v>5086413.5879157009</v>
      </c>
      <c r="AD92" s="16">
        <f t="shared" si="236"/>
        <v>5204401.5712016989</v>
      </c>
      <c r="AE92" s="3">
        <f t="shared" si="232"/>
        <v>62808727.782977454</v>
      </c>
    </row>
    <row r="93" spans="1:34" x14ac:dyDescent="0.25">
      <c r="A93" t="s">
        <v>50</v>
      </c>
      <c r="D93" s="2">
        <f>SUM(D42,D45:D47,D50:D52)+D79+D82</f>
        <v>4398219.8140000002</v>
      </c>
      <c r="E93" s="2">
        <f t="shared" ref="E93:O93" si="237">SUM(E42,E45:E47,E50:E52)+E79+E82</f>
        <v>3796191.7000000007</v>
      </c>
      <c r="F93" s="2">
        <f t="shared" si="237"/>
        <v>4478029.2429999998</v>
      </c>
      <c r="G93" s="2">
        <f t="shared" si="237"/>
        <v>7111385.1143100001</v>
      </c>
      <c r="H93" s="2">
        <f t="shared" si="237"/>
        <v>12812921.749009999</v>
      </c>
      <c r="I93" s="2">
        <f t="shared" si="237"/>
        <v>17989961.977000002</v>
      </c>
      <c r="J93" s="2">
        <f t="shared" si="237"/>
        <v>21556494.829009999</v>
      </c>
      <c r="K93" s="2">
        <f t="shared" si="237"/>
        <v>28687511.566</v>
      </c>
      <c r="L93" s="2">
        <f t="shared" si="237"/>
        <v>24955463.365999997</v>
      </c>
      <c r="M93" s="2">
        <f t="shared" si="237"/>
        <v>13560957.576000001</v>
      </c>
      <c r="N93" s="11">
        <f t="shared" si="237"/>
        <v>1854052.063000001</v>
      </c>
      <c r="O93" s="11">
        <f t="shared" si="237"/>
        <v>3596330.12</v>
      </c>
      <c r="P93" s="4">
        <f t="shared" si="230"/>
        <v>144797519.11732998</v>
      </c>
      <c r="S93" s="3">
        <f>SUM(S41:S53)+S79+S82</f>
        <v>459912.40743270988</v>
      </c>
      <c r="T93" s="3">
        <f t="shared" ref="T93:AD93" si="238">SUM(T41:T53)+T79+T82</f>
        <v>401200.33577183989</v>
      </c>
      <c r="U93" s="3">
        <f t="shared" si="238"/>
        <v>466187.07232728141</v>
      </c>
      <c r="V93" s="3">
        <f t="shared" si="238"/>
        <v>693677.0276909332</v>
      </c>
      <c r="W93" s="3">
        <f t="shared" si="238"/>
        <v>1178531.0342948635</v>
      </c>
      <c r="X93" s="3">
        <f t="shared" si="238"/>
        <v>1625715.0260645787</v>
      </c>
      <c r="Y93" s="3">
        <f t="shared" si="238"/>
        <v>1914687.1525767404</v>
      </c>
      <c r="Z93" s="3">
        <f t="shared" si="238"/>
        <v>2497448.7058069329</v>
      </c>
      <c r="AA93" s="3">
        <f t="shared" si="238"/>
        <v>2175146.5407142933</v>
      </c>
      <c r="AB93" s="3">
        <f t="shared" si="238"/>
        <v>1227763.4286573001</v>
      </c>
      <c r="AC93" s="16">
        <f t="shared" si="238"/>
        <v>231723.31005223998</v>
      </c>
      <c r="AD93" s="16">
        <f t="shared" si="238"/>
        <v>384080.31676199991</v>
      </c>
      <c r="AE93" s="3">
        <f t="shared" si="232"/>
        <v>13256072.358151715</v>
      </c>
      <c r="AF93" s="3">
        <f>AE92+AE94</f>
        <v>69435395.752977461</v>
      </c>
      <c r="AH93" t="s">
        <v>59</v>
      </c>
    </row>
    <row r="94" spans="1:34" x14ac:dyDescent="0.25">
      <c r="A94" t="s">
        <v>51</v>
      </c>
      <c r="D94" s="2">
        <f>D54</f>
        <v>1524043.9691599999</v>
      </c>
      <c r="E94" s="2">
        <f t="shared" ref="E94:O94" si="239">E54</f>
        <v>1368652.48554</v>
      </c>
      <c r="F94" s="2">
        <f t="shared" si="239"/>
        <v>1427999.66448</v>
      </c>
      <c r="G94" s="2">
        <f t="shared" si="239"/>
        <v>1399659.43147</v>
      </c>
      <c r="H94" s="2">
        <f t="shared" si="239"/>
        <v>1433720.3099799999</v>
      </c>
      <c r="I94" s="2">
        <f t="shared" si="239"/>
        <v>1453941.6797800001</v>
      </c>
      <c r="J94" s="2">
        <f t="shared" si="239"/>
        <v>1441419.5529999998</v>
      </c>
      <c r="K94" s="2">
        <f t="shared" si="239"/>
        <v>1439979.7609599999</v>
      </c>
      <c r="L94" s="2">
        <f t="shared" si="239"/>
        <v>1499105.6393500001</v>
      </c>
      <c r="M94" s="2">
        <f t="shared" si="239"/>
        <v>1421335.6833100002</v>
      </c>
      <c r="N94" s="11">
        <f t="shared" si="239"/>
        <v>1243812.5209999999</v>
      </c>
      <c r="O94" s="11">
        <f t="shared" si="239"/>
        <v>1538901.825</v>
      </c>
      <c r="P94" s="4">
        <f t="shared" si="230"/>
        <v>17192572.523030002</v>
      </c>
      <c r="S94" s="3">
        <f>S54</f>
        <v>507537.91</v>
      </c>
      <c r="T94" s="3">
        <f t="shared" ref="T94:AD94" si="240">T54</f>
        <v>554329.1</v>
      </c>
      <c r="U94" s="3">
        <f t="shared" si="240"/>
        <v>555680.56000000006</v>
      </c>
      <c r="V94" s="3">
        <f t="shared" si="240"/>
        <v>549966.18000000005</v>
      </c>
      <c r="W94" s="3">
        <f t="shared" si="240"/>
        <v>556284.05000000005</v>
      </c>
      <c r="X94" s="3">
        <f t="shared" si="240"/>
        <v>553640.88</v>
      </c>
      <c r="Y94" s="3">
        <f t="shared" si="240"/>
        <v>561733.63</v>
      </c>
      <c r="Z94" s="3">
        <f t="shared" si="240"/>
        <v>557835.01</v>
      </c>
      <c r="AA94" s="3">
        <f t="shared" si="240"/>
        <v>561819.51</v>
      </c>
      <c r="AB94" s="3">
        <f>AB54</f>
        <v>563001.84</v>
      </c>
      <c r="AC94" s="16">
        <f t="shared" si="240"/>
        <v>541759.67999999993</v>
      </c>
      <c r="AD94" s="16">
        <f t="shared" si="240"/>
        <v>563079.62</v>
      </c>
      <c r="AE94" s="3">
        <f>SUM(S94:AD94)</f>
        <v>6626667.9699999988</v>
      </c>
    </row>
    <row r="95" spans="1:34" x14ac:dyDescent="0.25">
      <c r="A95" t="s">
        <v>52</v>
      </c>
      <c r="D95" s="6">
        <f>SUM(D89:D94)</f>
        <v>556442198.28815997</v>
      </c>
      <c r="E95" s="6">
        <f t="shared" ref="E95:P95" si="241">SUM(E89:E94)</f>
        <v>485109118.27353996</v>
      </c>
      <c r="F95" s="6">
        <f t="shared" si="241"/>
        <v>464998486.25247991</v>
      </c>
      <c r="G95" s="6">
        <f t="shared" si="241"/>
        <v>408226943.40750003</v>
      </c>
      <c r="H95" s="6">
        <f t="shared" si="241"/>
        <v>384888344.98362005</v>
      </c>
      <c r="I95" s="6">
        <f t="shared" si="241"/>
        <v>385292550.77874005</v>
      </c>
      <c r="J95" s="6">
        <f t="shared" si="241"/>
        <v>459792882.3829999</v>
      </c>
      <c r="K95" s="6">
        <f t="shared" si="241"/>
        <v>466825144.56097996</v>
      </c>
      <c r="L95" s="6">
        <f t="shared" si="241"/>
        <v>420628415.04635</v>
      </c>
      <c r="M95" s="6">
        <f t="shared" si="241"/>
        <v>448916526.01530993</v>
      </c>
      <c r="N95" s="14">
        <f t="shared" si="241"/>
        <v>469060993.63500005</v>
      </c>
      <c r="O95" s="14">
        <f t="shared" si="241"/>
        <v>544514621.75399995</v>
      </c>
      <c r="P95" s="6">
        <f t="shared" si="241"/>
        <v>5494696225.3786802</v>
      </c>
      <c r="Q95" s="18"/>
      <c r="S95" s="5">
        <f>SUM(S89:S94)</f>
        <v>53293601.302375548</v>
      </c>
      <c r="T95" s="5">
        <f t="shared" ref="T95:AD95" si="242">SUM(T89:T94)</f>
        <v>47225088.911855377</v>
      </c>
      <c r="U95" s="5">
        <f t="shared" si="242"/>
        <v>45249697.134631924</v>
      </c>
      <c r="V95" s="5">
        <f t="shared" si="242"/>
        <v>40015191.633208454</v>
      </c>
      <c r="W95" s="5">
        <f t="shared" si="242"/>
        <v>37506392.662351958</v>
      </c>
      <c r="X95" s="5">
        <f t="shared" si="242"/>
        <v>38258349.511572115</v>
      </c>
      <c r="Y95" s="5">
        <f t="shared" si="242"/>
        <v>44188537.85407012</v>
      </c>
      <c r="Z95" s="5">
        <f t="shared" si="242"/>
        <v>44632543.813252248</v>
      </c>
      <c r="AA95" s="5">
        <f t="shared" si="242"/>
        <v>40654145.448338449</v>
      </c>
      <c r="AB95" s="5">
        <f t="shared" si="242"/>
        <v>42991948.841180958</v>
      </c>
      <c r="AC95" s="17">
        <f t="shared" si="242"/>
        <v>45256013.406587429</v>
      </c>
      <c r="AD95" s="17">
        <f t="shared" si="242"/>
        <v>52597753.404748604</v>
      </c>
      <c r="AE95" s="5">
        <f>SUM(AE89:AE94)</f>
        <v>531869263.92417324</v>
      </c>
      <c r="AF95" s="3">
        <f>SUM(AF89:AF94)</f>
        <v>531869263.92417324</v>
      </c>
    </row>
    <row r="96" spans="1:34" x14ac:dyDescent="0.25">
      <c r="D96" s="23">
        <f>D95/$P$95</f>
        <v>0.10126896473695621</v>
      </c>
      <c r="E96" s="23">
        <f t="shared" ref="E96:O96" si="243">E95/$P$95</f>
        <v>8.8286794824605164E-2</v>
      </c>
      <c r="F96" s="23">
        <f t="shared" si="243"/>
        <v>8.4626786846698415E-2</v>
      </c>
      <c r="G96" s="23">
        <f t="shared" si="243"/>
        <v>7.4294724705980641E-2</v>
      </c>
      <c r="H96" s="23">
        <f t="shared" si="243"/>
        <v>7.0047247235600282E-2</v>
      </c>
      <c r="I96" s="23">
        <f t="shared" si="243"/>
        <v>7.0120810136721737E-2</v>
      </c>
      <c r="J96" s="23">
        <f t="shared" si="243"/>
        <v>8.3679399829116513E-2</v>
      </c>
      <c r="K96" s="23">
        <f t="shared" si="243"/>
        <v>8.4959227118839964E-2</v>
      </c>
      <c r="L96" s="23">
        <f t="shared" si="243"/>
        <v>7.6551714197332421E-2</v>
      </c>
      <c r="M96" s="23">
        <f t="shared" si="243"/>
        <v>8.1699971682123659E-2</v>
      </c>
      <c r="N96" s="23">
        <f t="shared" si="243"/>
        <v>8.5366137525222985E-2</v>
      </c>
      <c r="O96" s="23">
        <f t="shared" si="243"/>
        <v>9.9098221160801914E-2</v>
      </c>
      <c r="P96" s="24">
        <f>SUM(D96:O96)</f>
        <v>0.99999999999999989</v>
      </c>
      <c r="AE96" s="3"/>
    </row>
    <row r="97" spans="1:31" x14ac:dyDescent="0.25">
      <c r="A97" t="s">
        <v>54</v>
      </c>
      <c r="C97" t="s">
        <v>55</v>
      </c>
      <c r="R97" s="143" t="s">
        <v>56</v>
      </c>
    </row>
    <row r="98" spans="1:31" x14ac:dyDescent="0.25">
      <c r="A98" t="s">
        <v>46</v>
      </c>
      <c r="D98" s="2">
        <f>D89/(D3+D7)</f>
        <v>1255.4033658420767</v>
      </c>
      <c r="E98" s="2">
        <f t="shared" ref="E98:M98" si="244">E89/(E3+E7)</f>
        <v>1054.4188230361692</v>
      </c>
      <c r="F98" s="2">
        <f t="shared" si="244"/>
        <v>971.97482270798957</v>
      </c>
      <c r="G98" s="2">
        <f t="shared" si="244"/>
        <v>866.78300202018102</v>
      </c>
      <c r="H98" s="2">
        <f t="shared" si="244"/>
        <v>731.46741039607286</v>
      </c>
      <c r="I98" s="2">
        <f t="shared" si="244"/>
        <v>709.05106660277579</v>
      </c>
      <c r="J98" s="2">
        <f t="shared" si="244"/>
        <v>865.86357396088738</v>
      </c>
      <c r="K98" s="2">
        <f t="shared" si="244"/>
        <v>888.08388624350346</v>
      </c>
      <c r="L98" s="2">
        <f t="shared" si="244"/>
        <v>732.50958433982089</v>
      </c>
      <c r="M98" s="2">
        <f t="shared" si="244"/>
        <v>786.66180520200226</v>
      </c>
      <c r="N98" s="11">
        <f t="shared" ref="N98:O98" si="245">N89/(N3+N7)</f>
        <v>1055.4000986338021</v>
      </c>
      <c r="O98" s="11">
        <f t="shared" si="245"/>
        <v>1294.9863840355163</v>
      </c>
      <c r="P98" s="2">
        <f t="shared" ref="P98" si="246">P89/(P3+P7)</f>
        <v>934.67056628478053</v>
      </c>
      <c r="S98" s="3">
        <f>S89/(D3+D7)</f>
        <v>121.7631952363883</v>
      </c>
      <c r="T98" s="3">
        <f t="shared" ref="T98:AE98" si="247">T89/(E3+E7)</f>
        <v>102.48284533945395</v>
      </c>
      <c r="U98" s="3">
        <f t="shared" si="247"/>
        <v>93.990654998817817</v>
      </c>
      <c r="V98" s="3">
        <f t="shared" si="247"/>
        <v>84.110544097844809</v>
      </c>
      <c r="W98" s="3">
        <f t="shared" si="247"/>
        <v>70.738473870630614</v>
      </c>
      <c r="X98" s="3">
        <f t="shared" si="247"/>
        <v>68.610483314473228</v>
      </c>
      <c r="Y98" s="3">
        <f t="shared" si="247"/>
        <v>82.611809151484223</v>
      </c>
      <c r="Z98" s="3">
        <f t="shared" si="247"/>
        <v>85.239369843832847</v>
      </c>
      <c r="AA98" s="3">
        <f t="shared" si="247"/>
        <v>71.356244676887556</v>
      </c>
      <c r="AB98" s="3">
        <f t="shared" si="247"/>
        <v>75.285899910389304</v>
      </c>
      <c r="AC98" s="16">
        <f t="shared" si="247"/>
        <v>100.29234717518113</v>
      </c>
      <c r="AD98" s="16">
        <f t="shared" si="247"/>
        <v>124.93638795237291</v>
      </c>
      <c r="AE98" s="3">
        <f t="shared" si="247"/>
        <v>90.145032607233361</v>
      </c>
    </row>
    <row r="99" spans="1:31" x14ac:dyDescent="0.25">
      <c r="A99" t="s">
        <v>47</v>
      </c>
      <c r="D99" s="2">
        <f>D90/(D11+D16)</f>
        <v>1768.4581991819418</v>
      </c>
      <c r="E99" s="2">
        <f t="shared" ref="E99:M99" si="248">E90/(E11+E16)</f>
        <v>1710.1545268833629</v>
      </c>
      <c r="F99" s="2">
        <f t="shared" si="248"/>
        <v>1579.3726196191051</v>
      </c>
      <c r="G99" s="2">
        <f t="shared" si="248"/>
        <v>1234.8555905822859</v>
      </c>
      <c r="H99" s="2">
        <f t="shared" si="248"/>
        <v>1237.903615859492</v>
      </c>
      <c r="I99" s="2">
        <f t="shared" si="248"/>
        <v>1310.1086380480453</v>
      </c>
      <c r="J99" s="2">
        <f t="shared" si="248"/>
        <v>1533.9819540122714</v>
      </c>
      <c r="K99" s="2">
        <f t="shared" si="248"/>
        <v>1454.1671221263916</v>
      </c>
      <c r="L99" s="2">
        <f t="shared" si="248"/>
        <v>1368.4045433021247</v>
      </c>
      <c r="M99" s="2">
        <f t="shared" si="248"/>
        <v>1504.5763343105873</v>
      </c>
      <c r="N99" s="11">
        <f t="shared" ref="N99:O99" si="249">N90/(N11+N16)</f>
        <v>1583.9537880131857</v>
      </c>
      <c r="O99" s="11">
        <f t="shared" si="249"/>
        <v>1806.197953730187</v>
      </c>
      <c r="P99" s="2">
        <f t="shared" ref="P99" si="250">P90/(P11+P16)</f>
        <v>1507.8244585216412</v>
      </c>
      <c r="S99" s="3">
        <f>S90/(D11+D16)</f>
        <v>226.54523984371335</v>
      </c>
      <c r="T99" s="3">
        <f t="shared" ref="T99:AE99" si="251">T90/(E11+E16)</f>
        <v>221.42301409910806</v>
      </c>
      <c r="U99" s="3">
        <f t="shared" si="251"/>
        <v>207.96017034687515</v>
      </c>
      <c r="V99" s="3">
        <f t="shared" si="251"/>
        <v>168.28768158447019</v>
      </c>
      <c r="W99" s="3">
        <f t="shared" si="251"/>
        <v>168.32808938352966</v>
      </c>
      <c r="X99" s="3">
        <f t="shared" si="251"/>
        <v>176.6134054926753</v>
      </c>
      <c r="Y99" s="3">
        <f t="shared" si="251"/>
        <v>201.87022086743929</v>
      </c>
      <c r="Z99" s="3">
        <f t="shared" si="251"/>
        <v>193.56504757605649</v>
      </c>
      <c r="AA99" s="3">
        <f t="shared" si="251"/>
        <v>183.75118664972558</v>
      </c>
      <c r="AB99" s="3">
        <f t="shared" si="251"/>
        <v>199.60923331348096</v>
      </c>
      <c r="AC99" s="16">
        <f t="shared" si="251"/>
        <v>208.90921353258898</v>
      </c>
      <c r="AD99" s="16">
        <f t="shared" si="251"/>
        <v>231.09011263025778</v>
      </c>
      <c r="AE99" s="3">
        <f t="shared" si="251"/>
        <v>199.0134398277149</v>
      </c>
    </row>
    <row r="100" spans="1:31" x14ac:dyDescent="0.25">
      <c r="A100" t="s">
        <v>48</v>
      </c>
      <c r="D100" s="2">
        <f>D91/(D21+D27)</f>
        <v>60579.104165063291</v>
      </c>
      <c r="E100" s="2">
        <f t="shared" ref="E100:M100" si="252">E91/(E21+E27)</f>
        <v>57369.662462427761</v>
      </c>
      <c r="F100" s="2">
        <f t="shared" si="252"/>
        <v>56737.800733265205</v>
      </c>
      <c r="G100" s="2">
        <f t="shared" si="252"/>
        <v>48004.74360826223</v>
      </c>
      <c r="H100" s="2">
        <f t="shared" si="252"/>
        <v>52257.37676213857</v>
      </c>
      <c r="I100" s="2">
        <f t="shared" si="252"/>
        <v>53484.147473382051</v>
      </c>
      <c r="J100" s="2">
        <f t="shared" si="252"/>
        <v>60677.092314133333</v>
      </c>
      <c r="K100" s="2">
        <f t="shared" si="252"/>
        <v>54743.105654467174</v>
      </c>
      <c r="L100" s="2">
        <f t="shared" si="252"/>
        <v>54099.888634937808</v>
      </c>
      <c r="M100" s="2">
        <f t="shared" si="252"/>
        <v>65252.171179978694</v>
      </c>
      <c r="N100" s="11">
        <f t="shared" ref="N100:O100" si="253">N91/(N21+N27)</f>
        <v>54390.138497219137</v>
      </c>
      <c r="O100" s="11">
        <f t="shared" si="253"/>
        <v>57535.96196112311</v>
      </c>
      <c r="P100" s="2">
        <f t="shared" ref="P100" si="254">P91/(P21+P27)</f>
        <v>56278.261864745313</v>
      </c>
      <c r="S100" s="3">
        <f>S91/(D21+D27)</f>
        <v>6105.7609049140437</v>
      </c>
      <c r="T100" s="3">
        <f t="shared" ref="T100:AE100" si="255">T91/(E21+E27)</f>
        <v>5857.2176999030207</v>
      </c>
      <c r="U100" s="3">
        <f t="shared" si="255"/>
        <v>5780.5588504530597</v>
      </c>
      <c r="V100" s="3">
        <f t="shared" si="255"/>
        <v>5040.3381313243162</v>
      </c>
      <c r="W100" s="3">
        <f t="shared" si="255"/>
        <v>5369.9139705179487</v>
      </c>
      <c r="X100" s="3">
        <f t="shared" si="255"/>
        <v>5515.8884961024942</v>
      </c>
      <c r="Y100" s="3">
        <f t="shared" si="255"/>
        <v>6146.0455143525223</v>
      </c>
      <c r="Z100" s="3">
        <f t="shared" si="255"/>
        <v>5759.435942835371</v>
      </c>
      <c r="AA100" s="3">
        <f t="shared" si="255"/>
        <v>5691.7782000933576</v>
      </c>
      <c r="AB100" s="3">
        <f t="shared" si="255"/>
        <v>6577.5767419066669</v>
      </c>
      <c r="AC100" s="16">
        <f t="shared" si="255"/>
        <v>5650.5085779228348</v>
      </c>
      <c r="AD100" s="16">
        <f t="shared" si="255"/>
        <v>5847.5666981768582</v>
      </c>
      <c r="AE100" s="3">
        <f t="shared" si="255"/>
        <v>5779.4350715403107</v>
      </c>
    </row>
    <row r="101" spans="1:31" x14ac:dyDescent="0.25">
      <c r="A101" t="s">
        <v>49</v>
      </c>
      <c r="D101" s="2">
        <f>D92/(D33)</f>
        <v>4126671.6808695658</v>
      </c>
      <c r="E101" s="2">
        <f t="shared" ref="E101:M101" si="256">E92/(E33)</f>
        <v>3588335.6334782601</v>
      </c>
      <c r="F101" s="2">
        <f t="shared" si="256"/>
        <v>3537317.3073913036</v>
      </c>
      <c r="G101" s="2">
        <f t="shared" si="256"/>
        <v>3280603.4082608698</v>
      </c>
      <c r="H101" s="2">
        <f t="shared" si="256"/>
        <v>3182448.3265217398</v>
      </c>
      <c r="I101" s="2">
        <f t="shared" si="256"/>
        <v>2740395.1726521743</v>
      </c>
      <c r="J101" s="2">
        <f t="shared" si="256"/>
        <v>3514859.853826086</v>
      </c>
      <c r="K101" s="2">
        <f t="shared" si="256"/>
        <v>3945760.5830434775</v>
      </c>
      <c r="L101" s="2">
        <f t="shared" si="256"/>
        <v>3741902.4148695651</v>
      </c>
      <c r="M101" s="2">
        <f t="shared" si="256"/>
        <v>3760662.3696956513</v>
      </c>
      <c r="N101" s="11">
        <f t="shared" ref="N101:O101" si="257">N92/(N33)</f>
        <v>3522223.2186956527</v>
      </c>
      <c r="O101" s="11">
        <f t="shared" si="257"/>
        <v>3627133.5404347824</v>
      </c>
      <c r="P101" s="2">
        <f t="shared" ref="P101" si="258">P92/(P33)</f>
        <v>3547359.4591449271</v>
      </c>
      <c r="S101" s="3">
        <f>S92/(D33)</f>
        <v>255037.81852285482</v>
      </c>
      <c r="T101" s="3">
        <f t="shared" ref="T101:AE101" si="259">T92/(E33)</f>
        <v>230487.58364700113</v>
      </c>
      <c r="U101" s="3">
        <f t="shared" si="259"/>
        <v>230357.88002496562</v>
      </c>
      <c r="V101" s="3">
        <f t="shared" si="259"/>
        <v>216138.92967930864</v>
      </c>
      <c r="W101" s="3">
        <f t="shared" si="259"/>
        <v>210134.84191377831</v>
      </c>
      <c r="X101" s="3">
        <f t="shared" si="259"/>
        <v>193664.93184102132</v>
      </c>
      <c r="Y101" s="3">
        <f t="shared" si="259"/>
        <v>227647.64260187911</v>
      </c>
      <c r="Z101" s="3">
        <f t="shared" si="259"/>
        <v>245640.38845208258</v>
      </c>
      <c r="AA101" s="3">
        <f t="shared" si="259"/>
        <v>236615.5205961295</v>
      </c>
      <c r="AB101" s="3">
        <f t="shared" si="259"/>
        <v>237661.96810619865</v>
      </c>
      <c r="AC101" s="16">
        <f t="shared" si="259"/>
        <v>221148.41686590004</v>
      </c>
      <c r="AD101" s="16">
        <f t="shared" si="259"/>
        <v>226278.32918268256</v>
      </c>
      <c r="AE101" s="3">
        <f t="shared" si="259"/>
        <v>227567.85428615019</v>
      </c>
    </row>
    <row r="102" spans="1:31" x14ac:dyDescent="0.25">
      <c r="A102" t="s">
        <v>50</v>
      </c>
      <c r="D102" s="2">
        <f>D93/(D41+D44+D49)</f>
        <v>1758.5844918032788</v>
      </c>
      <c r="E102" s="2">
        <f t="shared" ref="E102:M102" si="260">E93/(E41+E44+E49)</f>
        <v>1579.7718268830631</v>
      </c>
      <c r="F102" s="2">
        <f t="shared" si="260"/>
        <v>1802.0238402414486</v>
      </c>
      <c r="G102" s="2">
        <f t="shared" si="260"/>
        <v>2868.6507117022993</v>
      </c>
      <c r="H102" s="2">
        <f t="shared" si="260"/>
        <v>5290.223678369116</v>
      </c>
      <c r="I102" s="2">
        <f t="shared" si="260"/>
        <v>7198.8643365346143</v>
      </c>
      <c r="J102" s="2">
        <f t="shared" si="260"/>
        <v>8646.8089967950255</v>
      </c>
      <c r="K102" s="2">
        <f t="shared" si="260"/>
        <v>11534.986556493768</v>
      </c>
      <c r="L102" s="2">
        <f t="shared" si="260"/>
        <v>9958.285461292895</v>
      </c>
      <c r="M102" s="2">
        <f t="shared" si="260"/>
        <v>5446.1677012048194</v>
      </c>
      <c r="N102" s="11">
        <f t="shared" ref="N102:O102" si="261">N93/(N41+N44+N49)</f>
        <v>725.37248161189393</v>
      </c>
      <c r="O102" s="11">
        <f t="shared" si="261"/>
        <v>1419.7908093170154</v>
      </c>
      <c r="P102" s="2">
        <f t="shared" ref="P102" si="262">P93/(P41+P44+P49)</f>
        <v>4850.1882199145839</v>
      </c>
      <c r="S102" s="3">
        <f>S93/(D41+D44+D49)</f>
        <v>183.89140641051975</v>
      </c>
      <c r="T102" s="3">
        <f t="shared" ref="T102:AE102" si="263">T93/(E41+E44+E49)</f>
        <v>166.95810893543066</v>
      </c>
      <c r="U102" s="3">
        <f t="shared" si="263"/>
        <v>187.60043152003277</v>
      </c>
      <c r="V102" s="3">
        <f t="shared" si="263"/>
        <v>279.82131008105415</v>
      </c>
      <c r="W102" s="3">
        <f t="shared" si="263"/>
        <v>486.59415123652497</v>
      </c>
      <c r="X102" s="3">
        <f t="shared" si="263"/>
        <v>650.54622891739848</v>
      </c>
      <c r="Y102" s="3">
        <f t="shared" si="263"/>
        <v>768.02533196018464</v>
      </c>
      <c r="Z102" s="3">
        <f t="shared" si="263"/>
        <v>1004.2013292347941</v>
      </c>
      <c r="AA102" s="3">
        <f t="shared" si="263"/>
        <v>867.97547514536836</v>
      </c>
      <c r="AB102" s="3">
        <f t="shared" si="263"/>
        <v>493.07768219168679</v>
      </c>
      <c r="AC102" s="16">
        <f t="shared" si="263"/>
        <v>90.658572007918607</v>
      </c>
      <c r="AD102" s="16">
        <f t="shared" si="263"/>
        <v>151.63060274851952</v>
      </c>
      <c r="AE102" s="3">
        <f t="shared" si="263"/>
        <v>444.03002472538742</v>
      </c>
    </row>
    <row r="103" spans="1:31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15"/>
      <c r="O103" s="15"/>
      <c r="S103" s="7"/>
    </row>
    <row r="105" spans="1:31" x14ac:dyDescent="0.25">
      <c r="A105" t="s">
        <v>63</v>
      </c>
    </row>
    <row r="106" spans="1:31" x14ac:dyDescent="0.25">
      <c r="A106" t="s">
        <v>60</v>
      </c>
    </row>
    <row r="107" spans="1:31" x14ac:dyDescent="0.25">
      <c r="B107" t="s">
        <v>61</v>
      </c>
      <c r="D107" s="20">
        <v>201851.78</v>
      </c>
      <c r="E107" s="20">
        <v>215238.02</v>
      </c>
      <c r="F107" s="20">
        <v>216141.64</v>
      </c>
      <c r="G107" s="20">
        <v>193902.56</v>
      </c>
      <c r="H107" s="20">
        <v>170625.44</v>
      </c>
      <c r="I107" s="20">
        <v>205640.19</v>
      </c>
      <c r="J107" s="20">
        <v>237192.72</v>
      </c>
      <c r="K107" s="20">
        <v>281400.14</v>
      </c>
      <c r="L107" s="20">
        <v>290042.89</v>
      </c>
      <c r="M107" s="20">
        <v>247870.31</v>
      </c>
      <c r="N107" s="20">
        <v>264144.65999999997</v>
      </c>
      <c r="O107" s="20">
        <v>259132.49</v>
      </c>
      <c r="P107" s="19">
        <f>SUM(D107:O107)</f>
        <v>2783182.84</v>
      </c>
    </row>
    <row r="108" spans="1:31" x14ac:dyDescent="0.25">
      <c r="B108" t="s">
        <v>64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167">
        <f>SUM(D108:O108)</f>
        <v>0</v>
      </c>
    </row>
    <row r="109" spans="1:31" x14ac:dyDescent="0.25">
      <c r="B109" t="s">
        <v>62</v>
      </c>
      <c r="D109" s="20">
        <v>6.5</v>
      </c>
      <c r="E109" s="141">
        <f>D109</f>
        <v>6.5</v>
      </c>
      <c r="F109" s="141">
        <f t="shared" ref="F109:O109" si="264">E109</f>
        <v>6.5</v>
      </c>
      <c r="G109" s="20">
        <v>7</v>
      </c>
      <c r="H109" s="141">
        <f t="shared" si="264"/>
        <v>7</v>
      </c>
      <c r="I109" s="141">
        <f t="shared" si="264"/>
        <v>7</v>
      </c>
      <c r="J109" s="141">
        <f t="shared" si="264"/>
        <v>7</v>
      </c>
      <c r="K109" s="141">
        <f t="shared" si="264"/>
        <v>7</v>
      </c>
      <c r="L109" s="141">
        <f t="shared" si="264"/>
        <v>7</v>
      </c>
      <c r="M109" s="141">
        <f t="shared" si="264"/>
        <v>7</v>
      </c>
      <c r="N109" s="141">
        <f t="shared" si="264"/>
        <v>7</v>
      </c>
      <c r="O109" s="141">
        <f t="shared" si="264"/>
        <v>7</v>
      </c>
      <c r="P109" s="10"/>
    </row>
    <row r="110" spans="1:31" x14ac:dyDescent="0.25">
      <c r="B110" t="s">
        <v>65</v>
      </c>
      <c r="D110" s="20">
        <v>0.5</v>
      </c>
      <c r="E110" s="141">
        <f>D110</f>
        <v>0.5</v>
      </c>
      <c r="F110" s="141">
        <f t="shared" ref="F110:O110" si="265">E110</f>
        <v>0.5</v>
      </c>
      <c r="G110" s="20">
        <v>0.5</v>
      </c>
      <c r="H110" s="141">
        <f t="shared" si="265"/>
        <v>0.5</v>
      </c>
      <c r="I110" s="141">
        <f t="shared" si="265"/>
        <v>0.5</v>
      </c>
      <c r="J110" s="141">
        <f t="shared" si="265"/>
        <v>0.5</v>
      </c>
      <c r="K110" s="141">
        <f t="shared" si="265"/>
        <v>0.5</v>
      </c>
      <c r="L110" s="141">
        <f t="shared" si="265"/>
        <v>0.5</v>
      </c>
      <c r="M110" s="141">
        <f t="shared" si="265"/>
        <v>0.5</v>
      </c>
      <c r="N110" s="141">
        <f t="shared" si="265"/>
        <v>0.5</v>
      </c>
      <c r="O110" s="141">
        <f t="shared" si="265"/>
        <v>0.5</v>
      </c>
      <c r="P110" s="10"/>
    </row>
    <row r="111" spans="1:31" x14ac:dyDescent="0.25">
      <c r="A111" t="s">
        <v>66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P111" s="10"/>
    </row>
    <row r="112" spans="1:31" x14ac:dyDescent="0.25">
      <c r="B112" t="s">
        <v>61</v>
      </c>
      <c r="D112" s="20">
        <v>9740.82</v>
      </c>
      <c r="E112" s="20">
        <v>9997.7199999999993</v>
      </c>
      <c r="F112" s="20">
        <v>9351.27</v>
      </c>
      <c r="G112" s="20">
        <v>6632.99</v>
      </c>
      <c r="H112" s="20">
        <v>5271.85</v>
      </c>
      <c r="I112" s="20">
        <v>5755.73</v>
      </c>
      <c r="J112" s="20">
        <v>5976.1</v>
      </c>
      <c r="K112" s="20">
        <v>6415.34</v>
      </c>
      <c r="L112" s="20">
        <v>6264.56</v>
      </c>
      <c r="M112" s="20">
        <v>6744.15</v>
      </c>
      <c r="N112" s="20">
        <v>8637.4</v>
      </c>
      <c r="O112" s="20">
        <v>10406.19</v>
      </c>
      <c r="P112" s="167">
        <f t="shared" ref="P112:P113" si="266">SUM(D112:O112)</f>
        <v>91194.12</v>
      </c>
    </row>
    <row r="113" spans="1:16" x14ac:dyDescent="0.25">
      <c r="B113" t="s">
        <v>64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167">
        <f t="shared" si="266"/>
        <v>0</v>
      </c>
    </row>
    <row r="114" spans="1:16" x14ac:dyDescent="0.25">
      <c r="B114" t="s">
        <v>62</v>
      </c>
      <c r="D114" s="20">
        <v>6.5</v>
      </c>
      <c r="E114" s="141">
        <f>D114</f>
        <v>6.5</v>
      </c>
      <c r="F114" s="141">
        <f t="shared" ref="F114:O114" si="267">E114</f>
        <v>6.5</v>
      </c>
      <c r="G114" s="20">
        <v>6.5</v>
      </c>
      <c r="H114" s="141">
        <f t="shared" si="267"/>
        <v>6.5</v>
      </c>
      <c r="I114" s="141">
        <f t="shared" si="267"/>
        <v>6.5</v>
      </c>
      <c r="J114" s="141">
        <f t="shared" si="267"/>
        <v>6.5</v>
      </c>
      <c r="K114" s="141">
        <f t="shared" si="267"/>
        <v>6.5</v>
      </c>
      <c r="L114" s="141">
        <f t="shared" si="267"/>
        <v>6.5</v>
      </c>
      <c r="M114" s="141">
        <f t="shared" si="267"/>
        <v>6.5</v>
      </c>
      <c r="N114" s="141">
        <f t="shared" si="267"/>
        <v>6.5</v>
      </c>
      <c r="O114" s="141">
        <f t="shared" si="267"/>
        <v>6.5</v>
      </c>
      <c r="P114" s="10"/>
    </row>
    <row r="115" spans="1:16" x14ac:dyDescent="0.25">
      <c r="B115" t="s">
        <v>65</v>
      </c>
      <c r="D115" s="20">
        <v>0.5</v>
      </c>
      <c r="E115" s="141">
        <f>D115</f>
        <v>0.5</v>
      </c>
      <c r="F115" s="141">
        <f t="shared" ref="F115:O115" si="268">E115</f>
        <v>0.5</v>
      </c>
      <c r="G115" s="20">
        <v>0.5</v>
      </c>
      <c r="H115" s="141">
        <f t="shared" si="268"/>
        <v>0.5</v>
      </c>
      <c r="I115" s="141">
        <f t="shared" si="268"/>
        <v>0.5</v>
      </c>
      <c r="J115" s="141">
        <f t="shared" si="268"/>
        <v>0.5</v>
      </c>
      <c r="K115" s="141">
        <f t="shared" si="268"/>
        <v>0.5</v>
      </c>
      <c r="L115" s="141">
        <f t="shared" si="268"/>
        <v>0.5</v>
      </c>
      <c r="M115" s="141">
        <f t="shared" si="268"/>
        <v>0.5</v>
      </c>
      <c r="N115" s="141">
        <f t="shared" si="268"/>
        <v>0.5</v>
      </c>
      <c r="O115" s="141">
        <f t="shared" si="268"/>
        <v>0.5</v>
      </c>
      <c r="P115" s="10"/>
    </row>
    <row r="116" spans="1:16" x14ac:dyDescent="0.25">
      <c r="A116" t="s">
        <v>67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P116" s="10"/>
    </row>
    <row r="117" spans="1:16" x14ac:dyDescent="0.25">
      <c r="B117" t="s">
        <v>61</v>
      </c>
      <c r="D117" s="146">
        <v>1350649.14</v>
      </c>
      <c r="E117" s="146">
        <v>1302905.43</v>
      </c>
      <c r="F117" s="146">
        <v>1282405</v>
      </c>
      <c r="G117" s="146">
        <v>1275333.8400000001</v>
      </c>
      <c r="H117" s="146">
        <v>1204142.4099999999</v>
      </c>
      <c r="I117" s="146">
        <v>1348840.98</v>
      </c>
      <c r="J117" s="146">
        <v>1436127.62</v>
      </c>
      <c r="K117" s="146">
        <v>1569807.58</v>
      </c>
      <c r="L117" s="146">
        <v>1545615.02</v>
      </c>
      <c r="M117" s="146">
        <v>1565484.69</v>
      </c>
      <c r="N117" s="146">
        <v>1368803.64</v>
      </c>
      <c r="O117" s="146">
        <v>1323381.07</v>
      </c>
      <c r="P117" s="19">
        <f t="shared" ref="P117:P119" si="269">SUM(D117:O117)</f>
        <v>16573496.420000002</v>
      </c>
    </row>
    <row r="118" spans="1:16" x14ac:dyDescent="0.25">
      <c r="B118" t="s">
        <v>64</v>
      </c>
      <c r="D118" s="20">
        <v>11024.15</v>
      </c>
      <c r="E118" s="20">
        <v>10148.84</v>
      </c>
      <c r="F118" s="20">
        <v>10794.89</v>
      </c>
      <c r="G118" s="20">
        <v>11329.44</v>
      </c>
      <c r="H118" s="20">
        <v>13385.9</v>
      </c>
      <c r="I118" s="20">
        <v>15562.26</v>
      </c>
      <c r="J118" s="20">
        <v>15966.45</v>
      </c>
      <c r="K118" s="20">
        <v>17022.37</v>
      </c>
      <c r="L118" s="20">
        <v>16456.82</v>
      </c>
      <c r="M118" s="20">
        <v>15753.08</v>
      </c>
      <c r="N118" s="20">
        <v>13798.19</v>
      </c>
      <c r="O118" s="20">
        <v>12038.36</v>
      </c>
      <c r="P118" s="167">
        <f t="shared" si="269"/>
        <v>163280.75</v>
      </c>
    </row>
    <row r="119" spans="1:16" x14ac:dyDescent="0.25">
      <c r="B119" t="s">
        <v>68</v>
      </c>
      <c r="D119" s="20">
        <v>-4090.84</v>
      </c>
      <c r="E119" s="20">
        <v>-3864.14</v>
      </c>
      <c r="F119" s="20">
        <v>-4054.42</v>
      </c>
      <c r="G119" s="20">
        <v>-4370.78</v>
      </c>
      <c r="H119" s="20">
        <v>-4094.62</v>
      </c>
      <c r="I119" s="20">
        <v>-4929.55</v>
      </c>
      <c r="J119" s="20">
        <v>-4396.84</v>
      </c>
      <c r="K119" s="20">
        <v>-5056.2700000000004</v>
      </c>
      <c r="L119" s="20">
        <v>-5338.08</v>
      </c>
      <c r="M119" s="20">
        <v>-6554.71</v>
      </c>
      <c r="N119" s="20">
        <v>-3702.32</v>
      </c>
      <c r="O119" s="20">
        <v>-4540.07</v>
      </c>
      <c r="P119" s="167">
        <f t="shared" si="269"/>
        <v>-54992.639999999999</v>
      </c>
    </row>
    <row r="120" spans="1:16" x14ac:dyDescent="0.25">
      <c r="B120" t="s">
        <v>62</v>
      </c>
      <c r="D120" s="20">
        <v>6.5</v>
      </c>
      <c r="E120" s="141">
        <f>D120</f>
        <v>6.5</v>
      </c>
      <c r="F120" s="141">
        <f t="shared" ref="F120:O120" si="270">E120</f>
        <v>6.5</v>
      </c>
      <c r="G120" s="20">
        <v>7</v>
      </c>
      <c r="H120" s="141">
        <f t="shared" si="270"/>
        <v>7</v>
      </c>
      <c r="I120" s="141">
        <f t="shared" si="270"/>
        <v>7</v>
      </c>
      <c r="J120" s="141">
        <f t="shared" si="270"/>
        <v>7</v>
      </c>
      <c r="K120" s="141">
        <f t="shared" si="270"/>
        <v>7</v>
      </c>
      <c r="L120" s="141">
        <f t="shared" si="270"/>
        <v>7</v>
      </c>
      <c r="M120" s="141">
        <f t="shared" si="270"/>
        <v>7</v>
      </c>
      <c r="N120" s="141">
        <f t="shared" si="270"/>
        <v>7</v>
      </c>
      <c r="O120" s="141">
        <f t="shared" si="270"/>
        <v>7</v>
      </c>
      <c r="P120" s="10"/>
    </row>
    <row r="121" spans="1:16" x14ac:dyDescent="0.25">
      <c r="B121" t="s">
        <v>65</v>
      </c>
      <c r="D121" s="20">
        <v>0.5</v>
      </c>
      <c r="E121" s="141">
        <f>D121</f>
        <v>0.5</v>
      </c>
      <c r="F121" s="141">
        <f t="shared" ref="F121:O121" si="271">E121</f>
        <v>0.5</v>
      </c>
      <c r="G121" s="20">
        <v>0.5</v>
      </c>
      <c r="H121" s="141">
        <f t="shared" si="271"/>
        <v>0.5</v>
      </c>
      <c r="I121" s="141">
        <f t="shared" si="271"/>
        <v>0.5</v>
      </c>
      <c r="J121" s="141">
        <f t="shared" si="271"/>
        <v>0.5</v>
      </c>
      <c r="K121" s="141">
        <f t="shared" si="271"/>
        <v>0.5</v>
      </c>
      <c r="L121" s="141">
        <f t="shared" si="271"/>
        <v>0.5</v>
      </c>
      <c r="M121" s="141">
        <f t="shared" si="271"/>
        <v>0.5</v>
      </c>
      <c r="N121" s="141">
        <f t="shared" si="271"/>
        <v>0.5</v>
      </c>
      <c r="O121" s="141">
        <f t="shared" si="271"/>
        <v>0.5</v>
      </c>
      <c r="P121" s="10"/>
    </row>
    <row r="122" spans="1:16" x14ac:dyDescent="0.25">
      <c r="B122" t="s">
        <v>69</v>
      </c>
      <c r="D122" s="20">
        <v>-0.2</v>
      </c>
      <c r="E122" s="141">
        <f>D122</f>
        <v>-0.2</v>
      </c>
      <c r="F122" s="141">
        <f t="shared" ref="F122:O122" si="272">E122</f>
        <v>-0.2</v>
      </c>
      <c r="G122" s="20">
        <v>-0.2</v>
      </c>
      <c r="H122" s="141">
        <f t="shared" si="272"/>
        <v>-0.2</v>
      </c>
      <c r="I122" s="141">
        <f t="shared" si="272"/>
        <v>-0.2</v>
      </c>
      <c r="J122" s="141">
        <f t="shared" si="272"/>
        <v>-0.2</v>
      </c>
      <c r="K122" s="141">
        <f t="shared" si="272"/>
        <v>-0.2</v>
      </c>
      <c r="L122" s="141">
        <f t="shared" si="272"/>
        <v>-0.2</v>
      </c>
      <c r="M122" s="141">
        <f t="shared" si="272"/>
        <v>-0.2</v>
      </c>
      <c r="N122" s="141">
        <f t="shared" si="272"/>
        <v>-0.2</v>
      </c>
      <c r="O122" s="141">
        <f t="shared" si="272"/>
        <v>-0.2</v>
      </c>
      <c r="P122" s="10"/>
    </row>
    <row r="123" spans="1:16" x14ac:dyDescent="0.25">
      <c r="A123" t="s">
        <v>70</v>
      </c>
    </row>
    <row r="124" spans="1:16" x14ac:dyDescent="0.25">
      <c r="B124" t="s">
        <v>61</v>
      </c>
      <c r="D124" s="20">
        <v>32625.97</v>
      </c>
      <c r="E124" s="20">
        <v>32831.19</v>
      </c>
      <c r="F124" s="20">
        <v>30697.42</v>
      </c>
      <c r="G124" s="20">
        <v>27810.54</v>
      </c>
      <c r="H124" s="20">
        <v>20476.830000000002</v>
      </c>
      <c r="I124" s="20">
        <v>23866.87</v>
      </c>
      <c r="J124" s="20">
        <v>23466.19</v>
      </c>
      <c r="K124" s="20">
        <v>28002.81</v>
      </c>
      <c r="L124" s="20">
        <v>25260.93</v>
      </c>
      <c r="M124" s="20">
        <v>23588.05</v>
      </c>
      <c r="N124" s="20">
        <v>29146.78</v>
      </c>
      <c r="O124" s="20">
        <v>30631.73</v>
      </c>
      <c r="P124" s="19">
        <f t="shared" ref="P124:P126" si="273">SUM(D124:O124)</f>
        <v>328405.30999999994</v>
      </c>
    </row>
    <row r="125" spans="1:16" x14ac:dyDescent="0.25">
      <c r="B125" t="s">
        <v>64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2.98</v>
      </c>
      <c r="J125" s="20">
        <v>3.68</v>
      </c>
      <c r="K125" s="20">
        <v>5.84</v>
      </c>
      <c r="L125" s="20">
        <v>3.92</v>
      </c>
      <c r="M125" s="20">
        <v>15.39</v>
      </c>
      <c r="N125" s="20">
        <v>0</v>
      </c>
      <c r="O125" s="20">
        <v>0</v>
      </c>
      <c r="P125" s="19">
        <f t="shared" si="273"/>
        <v>31.810000000000002</v>
      </c>
    </row>
    <row r="126" spans="1:16" x14ac:dyDescent="0.25">
      <c r="B126" t="s">
        <v>68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19">
        <f t="shared" si="273"/>
        <v>0</v>
      </c>
    </row>
    <row r="127" spans="1:16" x14ac:dyDescent="0.25">
      <c r="B127" t="s">
        <v>62</v>
      </c>
      <c r="D127" s="20">
        <v>6.5</v>
      </c>
      <c r="E127" s="141">
        <f>D127</f>
        <v>6.5</v>
      </c>
      <c r="F127" s="141">
        <f t="shared" ref="F127:O127" si="274">E127</f>
        <v>6.5</v>
      </c>
      <c r="G127" s="20">
        <v>7</v>
      </c>
      <c r="H127" s="141">
        <f t="shared" si="274"/>
        <v>7</v>
      </c>
      <c r="I127" s="141">
        <f t="shared" si="274"/>
        <v>7</v>
      </c>
      <c r="J127" s="141">
        <f t="shared" si="274"/>
        <v>7</v>
      </c>
      <c r="K127" s="141">
        <f t="shared" si="274"/>
        <v>7</v>
      </c>
      <c r="L127" s="141">
        <f t="shared" si="274"/>
        <v>7</v>
      </c>
      <c r="M127" s="141">
        <f t="shared" si="274"/>
        <v>7</v>
      </c>
      <c r="N127" s="141">
        <f t="shared" si="274"/>
        <v>7</v>
      </c>
      <c r="O127" s="141">
        <f t="shared" si="274"/>
        <v>7</v>
      </c>
    </row>
    <row r="128" spans="1:16" x14ac:dyDescent="0.25">
      <c r="B128" t="s">
        <v>65</v>
      </c>
      <c r="D128" s="20">
        <v>0.5</v>
      </c>
      <c r="E128" s="141">
        <f>D128</f>
        <v>0.5</v>
      </c>
      <c r="F128" s="141">
        <f t="shared" ref="F128:O128" si="275">E128</f>
        <v>0.5</v>
      </c>
      <c r="G128" s="20">
        <f t="shared" si="275"/>
        <v>0.5</v>
      </c>
      <c r="H128" s="141">
        <f t="shared" si="275"/>
        <v>0.5</v>
      </c>
      <c r="I128" s="141">
        <f t="shared" si="275"/>
        <v>0.5</v>
      </c>
      <c r="J128" s="141">
        <f t="shared" si="275"/>
        <v>0.5</v>
      </c>
      <c r="K128" s="141">
        <f t="shared" si="275"/>
        <v>0.5</v>
      </c>
      <c r="L128" s="141">
        <f t="shared" si="275"/>
        <v>0.5</v>
      </c>
      <c r="M128" s="141">
        <f t="shared" si="275"/>
        <v>0.5</v>
      </c>
      <c r="N128" s="141">
        <f t="shared" si="275"/>
        <v>0.5</v>
      </c>
      <c r="O128" s="141">
        <f t="shared" si="275"/>
        <v>0.5</v>
      </c>
    </row>
    <row r="129" spans="1:17" x14ac:dyDescent="0.25">
      <c r="B129" t="s">
        <v>69</v>
      </c>
      <c r="D129" s="20">
        <v>-0.2</v>
      </c>
      <c r="E129" s="141">
        <f>D129</f>
        <v>-0.2</v>
      </c>
      <c r="F129" s="141">
        <f t="shared" ref="F129:O129" si="276">E129</f>
        <v>-0.2</v>
      </c>
      <c r="G129" s="20">
        <f t="shared" si="276"/>
        <v>-0.2</v>
      </c>
      <c r="H129" s="141">
        <f t="shared" si="276"/>
        <v>-0.2</v>
      </c>
      <c r="I129" s="141">
        <f t="shared" si="276"/>
        <v>-0.2</v>
      </c>
      <c r="J129" s="141">
        <f t="shared" si="276"/>
        <v>-0.2</v>
      </c>
      <c r="K129" s="141">
        <f t="shared" si="276"/>
        <v>-0.2</v>
      </c>
      <c r="L129" s="141">
        <f t="shared" si="276"/>
        <v>-0.2</v>
      </c>
      <c r="M129" s="141">
        <f t="shared" si="276"/>
        <v>-0.2</v>
      </c>
      <c r="N129" s="141">
        <f t="shared" si="276"/>
        <v>-0.2</v>
      </c>
      <c r="O129" s="141">
        <f t="shared" si="276"/>
        <v>-0.2</v>
      </c>
    </row>
    <row r="130" spans="1:17" x14ac:dyDescent="0.25">
      <c r="A130" t="s">
        <v>49</v>
      </c>
    </row>
    <row r="131" spans="1:17" x14ac:dyDescent="0.25">
      <c r="B131" t="s">
        <v>61</v>
      </c>
      <c r="D131" s="20">
        <v>669504.31999999995</v>
      </c>
      <c r="E131" s="20">
        <v>665961.19999999995</v>
      </c>
      <c r="F131" s="20">
        <v>646344.62</v>
      </c>
      <c r="G131" s="20">
        <v>651103.77</v>
      </c>
      <c r="H131" s="20">
        <v>807970.6</v>
      </c>
      <c r="I131" s="20">
        <v>827698.5</v>
      </c>
      <c r="J131" s="20">
        <v>818360.71</v>
      </c>
      <c r="K131" s="20">
        <v>852515.23</v>
      </c>
      <c r="L131" s="20">
        <v>840539.92</v>
      </c>
      <c r="M131" s="20">
        <v>845158.69</v>
      </c>
      <c r="N131" s="20">
        <v>847374.72</v>
      </c>
      <c r="O131" s="20">
        <v>723087.72</v>
      </c>
      <c r="P131" s="19">
        <f t="shared" ref="P131:P134" si="277">SUM(D131:O131)</f>
        <v>9195620</v>
      </c>
      <c r="Q131" s="2"/>
    </row>
    <row r="132" spans="1:17" x14ac:dyDescent="0.25">
      <c r="B132" t="s">
        <v>71</v>
      </c>
      <c r="D132" s="20">
        <v>-16686.68</v>
      </c>
      <c r="E132" s="20">
        <v>-16766.11</v>
      </c>
      <c r="F132" s="20">
        <v>-16548.73</v>
      </c>
      <c r="G132" s="20">
        <v>-16165.61</v>
      </c>
      <c r="H132" s="20">
        <v>-15521.93</v>
      </c>
      <c r="I132" s="20">
        <v>-16353.83</v>
      </c>
      <c r="J132" s="20">
        <v>-16073.21</v>
      </c>
      <c r="K132" s="20">
        <v>-17700.080000000002</v>
      </c>
      <c r="L132" s="20">
        <v>-16940.04</v>
      </c>
      <c r="M132" s="20">
        <v>-16779</v>
      </c>
      <c r="N132" s="20">
        <v>-16424.98</v>
      </c>
      <c r="O132" s="20">
        <v>-14795.29</v>
      </c>
      <c r="P132" s="19">
        <f t="shared" si="277"/>
        <v>-196755.49000000002</v>
      </c>
      <c r="Q132" s="2"/>
    </row>
    <row r="133" spans="1:17" x14ac:dyDescent="0.25">
      <c r="B133" t="s">
        <v>73</v>
      </c>
      <c r="D133" s="20">
        <v>-11553.71</v>
      </c>
      <c r="E133" s="20">
        <v>-10236.120000000001</v>
      </c>
      <c r="F133" s="20">
        <v>-10162.629999999999</v>
      </c>
      <c r="G133" s="20">
        <v>-11877.36</v>
      </c>
      <c r="H133" s="20">
        <v>-18055.939999999999</v>
      </c>
      <c r="I133" s="20">
        <v>-17435.34</v>
      </c>
      <c r="J133" s="20">
        <v>-13789.99</v>
      </c>
      <c r="K133" s="20">
        <v>-16716.22</v>
      </c>
      <c r="L133" s="20">
        <v>-15362.4</v>
      </c>
      <c r="M133" s="20">
        <v>-16054.51</v>
      </c>
      <c r="N133" s="20">
        <v>-13465.35</v>
      </c>
      <c r="O133" s="20">
        <v>-13565.82</v>
      </c>
      <c r="P133" s="19">
        <f t="shared" si="277"/>
        <v>-168275.39</v>
      </c>
      <c r="Q133" s="2"/>
    </row>
    <row r="134" spans="1:17" x14ac:dyDescent="0.25">
      <c r="B134" t="s">
        <v>75</v>
      </c>
      <c r="D134" s="20">
        <v>-76003.47</v>
      </c>
      <c r="E134" s="20">
        <v>-74796.05</v>
      </c>
      <c r="F134" s="20">
        <v>-71165.08</v>
      </c>
      <c r="G134" s="20">
        <v>-72576.28</v>
      </c>
      <c r="H134" s="20">
        <v>-101996.64</v>
      </c>
      <c r="I134" s="20">
        <v>-102314.59</v>
      </c>
      <c r="J134" s="20">
        <v>-101760.47</v>
      </c>
      <c r="K134" s="20">
        <v>-104264.91</v>
      </c>
      <c r="L134" s="20">
        <v>-102457.16</v>
      </c>
      <c r="M134" s="20">
        <v>-101206.38</v>
      </c>
      <c r="N134" s="20">
        <v>-100907.54</v>
      </c>
      <c r="O134" s="20">
        <v>-102233.01</v>
      </c>
      <c r="P134" s="19">
        <f t="shared" si="277"/>
        <v>-1111681.58</v>
      </c>
      <c r="Q134" s="2"/>
    </row>
    <row r="135" spans="1:17" x14ac:dyDescent="0.25">
      <c r="B135" t="s">
        <v>62</v>
      </c>
      <c r="D135" s="20">
        <v>6.5</v>
      </c>
      <c r="E135" s="141">
        <f t="shared" ref="E135:O138" si="278">D135</f>
        <v>6.5</v>
      </c>
      <c r="F135" s="141">
        <f t="shared" si="278"/>
        <v>6.5</v>
      </c>
      <c r="G135" s="20">
        <v>8.3000000000000007</v>
      </c>
      <c r="H135" s="141">
        <f t="shared" si="278"/>
        <v>8.3000000000000007</v>
      </c>
      <c r="I135" s="21">
        <f t="shared" si="278"/>
        <v>8.3000000000000007</v>
      </c>
      <c r="J135" s="21">
        <f t="shared" si="278"/>
        <v>8.3000000000000007</v>
      </c>
      <c r="K135" s="21">
        <f t="shared" si="278"/>
        <v>8.3000000000000007</v>
      </c>
      <c r="L135" s="21">
        <f t="shared" si="278"/>
        <v>8.3000000000000007</v>
      </c>
      <c r="M135" s="21">
        <f t="shared" si="278"/>
        <v>8.3000000000000007</v>
      </c>
      <c r="N135" s="21">
        <f t="shared" si="278"/>
        <v>8.3000000000000007</v>
      </c>
      <c r="O135" s="21">
        <f t="shared" si="278"/>
        <v>8.3000000000000007</v>
      </c>
    </row>
    <row r="136" spans="1:17" x14ac:dyDescent="0.25">
      <c r="B136" t="s">
        <v>72</v>
      </c>
      <c r="D136" s="20">
        <v>-0.2</v>
      </c>
      <c r="E136" s="141">
        <f t="shared" si="278"/>
        <v>-0.2</v>
      </c>
      <c r="F136" s="141">
        <f t="shared" si="278"/>
        <v>-0.2</v>
      </c>
      <c r="G136" s="20">
        <v>-0.2</v>
      </c>
      <c r="H136" s="141">
        <f t="shared" si="278"/>
        <v>-0.2</v>
      </c>
      <c r="I136" s="21">
        <f t="shared" si="278"/>
        <v>-0.2</v>
      </c>
      <c r="J136" s="21">
        <f t="shared" si="278"/>
        <v>-0.2</v>
      </c>
      <c r="K136" s="21">
        <f t="shared" si="278"/>
        <v>-0.2</v>
      </c>
      <c r="L136" s="21">
        <f t="shared" si="278"/>
        <v>-0.2</v>
      </c>
      <c r="M136" s="21">
        <f t="shared" si="278"/>
        <v>-0.2</v>
      </c>
      <c r="N136" s="21">
        <f t="shared" si="278"/>
        <v>-0.2</v>
      </c>
      <c r="O136" s="21">
        <f t="shared" si="278"/>
        <v>-0.2</v>
      </c>
    </row>
    <row r="137" spans="1:17" x14ac:dyDescent="0.25">
      <c r="B137" t="s">
        <v>74</v>
      </c>
      <c r="D137" s="20">
        <v>-1.1000000000000001</v>
      </c>
      <c r="E137" s="141">
        <f t="shared" si="278"/>
        <v>-1.1000000000000001</v>
      </c>
      <c r="F137" s="141">
        <f t="shared" si="278"/>
        <v>-1.1000000000000001</v>
      </c>
      <c r="G137" s="20">
        <v>-1.52</v>
      </c>
      <c r="H137" s="141">
        <f t="shared" si="278"/>
        <v>-1.52</v>
      </c>
      <c r="I137" s="21">
        <f t="shared" si="278"/>
        <v>-1.52</v>
      </c>
      <c r="J137" s="21">
        <f t="shared" si="278"/>
        <v>-1.52</v>
      </c>
      <c r="K137" s="21">
        <f t="shared" si="278"/>
        <v>-1.52</v>
      </c>
      <c r="L137" s="21">
        <f t="shared" si="278"/>
        <v>-1.52</v>
      </c>
      <c r="M137" s="21">
        <f t="shared" si="278"/>
        <v>-1.52</v>
      </c>
      <c r="N137" s="21">
        <f t="shared" si="278"/>
        <v>-1.52</v>
      </c>
      <c r="O137" s="21">
        <f t="shared" si="278"/>
        <v>-1.52</v>
      </c>
    </row>
    <row r="138" spans="1:17" x14ac:dyDescent="0.25">
      <c r="B138" t="s">
        <v>76</v>
      </c>
      <c r="D138" s="20">
        <v>-1.4</v>
      </c>
      <c r="E138" s="141">
        <f t="shared" si="278"/>
        <v>-1.4</v>
      </c>
      <c r="F138" s="141">
        <f t="shared" si="278"/>
        <v>-1.4</v>
      </c>
      <c r="G138" s="20">
        <v>-1.93</v>
      </c>
      <c r="H138" s="141">
        <f t="shared" si="278"/>
        <v>-1.93</v>
      </c>
      <c r="I138" s="21">
        <f t="shared" si="278"/>
        <v>-1.93</v>
      </c>
      <c r="J138" s="21">
        <f t="shared" si="278"/>
        <v>-1.93</v>
      </c>
      <c r="K138" s="21">
        <f t="shared" si="278"/>
        <v>-1.93</v>
      </c>
      <c r="L138" s="21">
        <f t="shared" si="278"/>
        <v>-1.93</v>
      </c>
      <c r="M138" s="21">
        <f t="shared" si="278"/>
        <v>-1.93</v>
      </c>
      <c r="N138" s="21">
        <f t="shared" si="278"/>
        <v>-1.93</v>
      </c>
      <c r="O138" s="21">
        <f t="shared" si="278"/>
        <v>-1.93</v>
      </c>
    </row>
    <row r="139" spans="1:17" x14ac:dyDescent="0.25">
      <c r="A139" t="s">
        <v>79</v>
      </c>
      <c r="D139" s="10"/>
      <c r="E139" s="10"/>
    </row>
    <row r="140" spans="1:17" x14ac:dyDescent="0.25">
      <c r="B140" t="s">
        <v>64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19">
        <f t="shared" ref="P140" si="279">SUM(D140:O140)</f>
        <v>0</v>
      </c>
    </row>
    <row r="141" spans="1:17" x14ac:dyDescent="0.25">
      <c r="B141" t="s">
        <v>65</v>
      </c>
      <c r="D141" s="20">
        <v>0.5</v>
      </c>
      <c r="E141" s="142">
        <f>D141</f>
        <v>0.5</v>
      </c>
      <c r="F141" s="22">
        <f t="shared" ref="F141:O141" si="280">E141</f>
        <v>0.5</v>
      </c>
      <c r="G141" s="22">
        <f t="shared" si="280"/>
        <v>0.5</v>
      </c>
      <c r="H141" s="22">
        <f t="shared" si="280"/>
        <v>0.5</v>
      </c>
      <c r="I141" s="22">
        <f t="shared" si="280"/>
        <v>0.5</v>
      </c>
      <c r="J141" s="22">
        <f t="shared" si="280"/>
        <v>0.5</v>
      </c>
      <c r="K141" s="22">
        <f t="shared" si="280"/>
        <v>0.5</v>
      </c>
      <c r="L141" s="22">
        <f t="shared" si="280"/>
        <v>0.5</v>
      </c>
      <c r="M141" s="22">
        <f t="shared" si="280"/>
        <v>0.5</v>
      </c>
      <c r="N141" s="22">
        <f t="shared" si="280"/>
        <v>0.5</v>
      </c>
      <c r="O141" s="22">
        <f t="shared" si="280"/>
        <v>0.5</v>
      </c>
    </row>
    <row r="142" spans="1:17" x14ac:dyDescent="0.25">
      <c r="A142" t="s">
        <v>77</v>
      </c>
      <c r="D142" s="10"/>
      <c r="E142" s="10"/>
    </row>
    <row r="143" spans="1:17" x14ac:dyDescent="0.25">
      <c r="B143" t="s">
        <v>64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19">
        <f t="shared" ref="P143" si="281">SUM(D143:O143)</f>
        <v>0</v>
      </c>
    </row>
    <row r="144" spans="1:17" x14ac:dyDescent="0.25">
      <c r="B144" t="s">
        <v>65</v>
      </c>
      <c r="D144" s="20">
        <v>0.5</v>
      </c>
      <c r="E144" s="142">
        <f>D144</f>
        <v>0.5</v>
      </c>
      <c r="F144" s="22">
        <f t="shared" ref="F144:O144" si="282">E144</f>
        <v>0.5</v>
      </c>
      <c r="G144" s="22">
        <f t="shared" si="282"/>
        <v>0.5</v>
      </c>
      <c r="H144" s="22">
        <f t="shared" si="282"/>
        <v>0.5</v>
      </c>
      <c r="I144" s="22">
        <f t="shared" si="282"/>
        <v>0.5</v>
      </c>
      <c r="J144" s="22">
        <f t="shared" si="282"/>
        <v>0.5</v>
      </c>
      <c r="K144" s="22">
        <f t="shared" si="282"/>
        <v>0.5</v>
      </c>
      <c r="L144" s="22">
        <f t="shared" si="282"/>
        <v>0.5</v>
      </c>
      <c r="M144" s="22">
        <f t="shared" si="282"/>
        <v>0.5</v>
      </c>
      <c r="N144" s="22">
        <f t="shared" si="282"/>
        <v>0.5</v>
      </c>
      <c r="O144" s="22">
        <f t="shared" si="282"/>
        <v>0.5</v>
      </c>
    </row>
    <row r="145" spans="1:16" x14ac:dyDescent="0.25">
      <c r="A145" t="s">
        <v>78</v>
      </c>
      <c r="D145" s="10"/>
      <c r="E145" s="10"/>
    </row>
    <row r="146" spans="1:16" x14ac:dyDescent="0.25">
      <c r="B146" t="s">
        <v>64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19">
        <f t="shared" ref="P146" si="283">SUM(D146:O146)</f>
        <v>0</v>
      </c>
    </row>
    <row r="147" spans="1:16" x14ac:dyDescent="0.25">
      <c r="B147" t="s">
        <v>65</v>
      </c>
      <c r="D147" s="20">
        <v>0.5</v>
      </c>
      <c r="E147" s="142">
        <f>D147</f>
        <v>0.5</v>
      </c>
      <c r="F147" s="22">
        <f t="shared" ref="F147:O147" si="284">E147</f>
        <v>0.5</v>
      </c>
      <c r="G147" s="22">
        <f t="shared" si="284"/>
        <v>0.5</v>
      </c>
      <c r="H147" s="22">
        <f t="shared" si="284"/>
        <v>0.5</v>
      </c>
      <c r="I147" s="22">
        <f t="shared" si="284"/>
        <v>0.5</v>
      </c>
      <c r="J147" s="22">
        <f t="shared" si="284"/>
        <v>0.5</v>
      </c>
      <c r="K147" s="22">
        <f t="shared" si="284"/>
        <v>0.5</v>
      </c>
      <c r="L147" s="22">
        <f t="shared" si="284"/>
        <v>0.5</v>
      </c>
      <c r="M147" s="22">
        <f t="shared" si="284"/>
        <v>0.5</v>
      </c>
      <c r="N147" s="22">
        <f t="shared" si="284"/>
        <v>0.5</v>
      </c>
      <c r="O147" s="22">
        <f t="shared" si="284"/>
        <v>0.5</v>
      </c>
    </row>
    <row r="148" spans="1:16" x14ac:dyDescent="0.25">
      <c r="D148" s="10"/>
      <c r="E148" s="10"/>
    </row>
    <row r="149" spans="1:16" x14ac:dyDescent="0.25">
      <c r="D149" s="10"/>
      <c r="E149" s="10"/>
    </row>
    <row r="150" spans="1:16" x14ac:dyDescent="0.25">
      <c r="D150" s="10"/>
      <c r="E150" s="10"/>
    </row>
  </sheetData>
  <printOptions horizontalCentered="1"/>
  <pageMargins left="0.2" right="0.2" top="0.5" bottom="0.5" header="0.3" footer="0.3"/>
  <pageSetup scale="60" orientation="landscape" r:id="rId1"/>
  <headerFooter scaleWithDoc="0">
    <oddHeader>&amp;A</oddHeader>
    <oddFooter>&amp;L&amp;F / &amp;A</oddFooter>
  </headerFooter>
  <rowBreaks count="2" manualBreakCount="2">
    <brk id="54" max="16383" man="1"/>
    <brk id="102" max="15" man="1"/>
  </rowBreaks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58EE20B7BE83479325C0557723836B" ma:contentTypeVersion="44" ma:contentTypeDescription="" ma:contentTypeScope="" ma:versionID="3fa5cf64c4c2bd265783279e85a91f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2021-05-26T07:00:00+00:00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3E6ED9-A374-4E75-AABB-4B2FB646E075}"/>
</file>

<file path=customXml/itemProps2.xml><?xml version="1.0" encoding="utf-8"?>
<ds:datastoreItem xmlns:ds="http://schemas.openxmlformats.org/officeDocument/2006/customXml" ds:itemID="{FCF499C5-86AA-4BEF-B7CD-A0B3B5C553DE}"/>
</file>

<file path=customXml/itemProps3.xml><?xml version="1.0" encoding="utf-8"?>
<ds:datastoreItem xmlns:ds="http://schemas.openxmlformats.org/officeDocument/2006/customXml" ds:itemID="{F0B30191-D3C9-462E-A36C-8646025B8524}"/>
</file>

<file path=customXml/itemProps4.xml><?xml version="1.0" encoding="utf-8"?>
<ds:datastoreItem xmlns:ds="http://schemas.openxmlformats.org/officeDocument/2006/customXml" ds:itemID="{9E1812A0-B5CC-43B9-A0B7-C1A4944FB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WA Sch 25</vt:lpstr>
      <vt:lpstr>WA Electric</vt:lpstr>
      <vt:lpstr>'WA Electric'!Print_Area</vt:lpstr>
      <vt:lpstr>'WA Sch 25'!Print_Area</vt:lpstr>
      <vt:lpstr>'WA Electric'!Print_Titles</vt:lpstr>
      <vt:lpstr>'WA Sch 25'!Sch25_Annual_excess_kva</vt:lpstr>
      <vt:lpstr>'WA Sch 25'!Sch25_Annual_kva</vt:lpstr>
      <vt:lpstr>'WA Sch 25'!Sch25_Annual_kW</vt:lpstr>
      <vt:lpstr>'WA Sch 25'!Sch25_Annual_kWh</vt:lpstr>
      <vt:lpstr>'WA Sch 25'!Sch25_kWh</vt:lpstr>
      <vt:lpstr>'WA Sch 25'!Sch25_n</vt:lpstr>
      <vt:lpstr>'WA Sch 25'!Sch25_nD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2021-05-11T22:54:11Z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0x0101006E56B4D1795A2E4DB2F0B01679ED314A005B58EE20B7BE83479325C0557723836B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