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ustomProperty2.bin" ContentType="application/vnd.openxmlformats-officedocument.spreadsheetml.customProperty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customXml/itemProps1.xml" ContentType="application/vnd.openxmlformats-officedocument.customXmlProperties+xml"/>
  <Override PartName="/xl/customProperty1.bin" ContentType="application/vnd.openxmlformats-officedocument.spreadsheetml.customProperty"/>
  <Override PartName="/xl/customProperty4.bin" ContentType="application/vnd.openxmlformats-officedocument.spreadsheetml.customProperty"/>
  <Override PartName="/xl/customProperty3.bin" ContentType="application/vnd.openxmlformats-officedocument.spreadsheetml.customProperty"/>
  <Override PartName="/xl/comments1.xml" ContentType="application/vnd.openxmlformats-officedocument.spreadsheetml.comments+xml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xl/customProperty6.bin" ContentType="application/vnd.openxmlformats-officedocument.spreadsheetml.customProperty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19\2019 WA REC Filing\"/>
    </mc:Choice>
  </mc:AlternateContent>
  <bookViews>
    <workbookView xWindow="315" yWindow="90" windowWidth="16260" windowHeight="7080" tabRatio="715"/>
  </bookViews>
  <sheets>
    <sheet name="Rate Design" sheetId="2" r:id="rId1"/>
    <sheet name="3-2019 thru 6-2019 RECs" sheetId="8" r:id="rId2"/>
    <sheet name="7-2019 thru 6-2020 RECs" sheetId="1" r:id="rId3"/>
    <sheet name="Forecast Balance" sheetId="5" r:id="rId4"/>
    <sheet name="Forecasted Revenue" sheetId="6" r:id="rId5"/>
    <sheet name="kWh Forecast" sheetId="3" r:id="rId6"/>
    <sheet name="CF WA Elec" sheetId="9" r:id="rId7"/>
  </sheets>
  <externalReferences>
    <externalReference r:id="rId8"/>
    <externalReference r:id="rId9"/>
  </externalReferences>
  <definedNames>
    <definedName name="Actual">#REF!</definedName>
    <definedName name="calc_w_o">#REF!</definedName>
    <definedName name="Elec">#REF!</definedName>
    <definedName name="ElecFranchise">#REF!</definedName>
    <definedName name="exhibit">#REF!</definedName>
    <definedName name="Gas">#REF!</definedName>
    <definedName name="GasFranchise">#REF!</definedName>
    <definedName name="ine">#REF!</definedName>
    <definedName name="_xlnm.Print_Area" localSheetId="3">'Forecast Balance'!$A$1:$T$27</definedName>
    <definedName name="_xlnm.Print_Area" localSheetId="4">'Forecasted Revenue'!$A$1:$S$43</definedName>
    <definedName name="_xlnm.Print_Area" localSheetId="5">'kWh Forecast'!$A$1:$R$56</definedName>
    <definedName name="_xlnm.Print_Area" localSheetId="0">'Rate Design'!$A$1:$J$46</definedName>
    <definedName name="PrintAll">#REF!</definedName>
    <definedName name="Recover">[1]Macro1!$A$85</definedName>
    <definedName name="TableName">"Dummy"</definedName>
  </definedNames>
  <calcPr calcId="152511" calcMode="manual"/>
</workbook>
</file>

<file path=xl/calcChain.xml><?xml version="1.0" encoding="utf-8"?>
<calcChain xmlns="http://schemas.openxmlformats.org/spreadsheetml/2006/main">
  <c r="V7" i="5" l="1"/>
  <c r="V3" i="5"/>
  <c r="V4" i="5"/>
  <c r="O7" i="5"/>
  <c r="I7" i="5"/>
  <c r="J4" i="5" l="1"/>
  <c r="K4" i="5"/>
  <c r="L4" i="5"/>
  <c r="M4" i="5"/>
  <c r="N4" i="5"/>
  <c r="O4" i="5"/>
  <c r="P4" i="5"/>
  <c r="Q4" i="5"/>
  <c r="R4" i="5"/>
  <c r="S4" i="5"/>
  <c r="T4" i="5"/>
  <c r="I4" i="5"/>
  <c r="E15" i="1"/>
  <c r="G16" i="8"/>
  <c r="F16" i="8"/>
  <c r="S32" i="6" l="1"/>
  <c r="E16" i="8"/>
  <c r="F14" i="8"/>
  <c r="G14" i="8"/>
  <c r="H14" i="8"/>
  <c r="I14" i="8"/>
  <c r="C42" i="2" l="1"/>
  <c r="C46" i="2" s="1"/>
  <c r="D25" i="2"/>
  <c r="B46" i="3"/>
  <c r="B44" i="3"/>
  <c r="C25" i="5" l="1"/>
  <c r="E14" i="8" l="1"/>
  <c r="N41" i="2" l="1"/>
  <c r="N40" i="2"/>
  <c r="H4" i="5" l="1"/>
  <c r="G4" i="5"/>
  <c r="F4" i="5"/>
  <c r="G18" i="8"/>
  <c r="O42" i="3"/>
  <c r="K42" i="3"/>
  <c r="G42" i="3"/>
  <c r="F42" i="3"/>
  <c r="C42" i="3"/>
  <c r="D42" i="3"/>
  <c r="E42" i="3"/>
  <c r="H42" i="3"/>
  <c r="I42" i="3"/>
  <c r="J42" i="3"/>
  <c r="L42" i="3"/>
  <c r="M42" i="3"/>
  <c r="N42" i="3"/>
  <c r="P42" i="3"/>
  <c r="Q42" i="3"/>
  <c r="B42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B16" i="3"/>
  <c r="E4" i="5" l="1"/>
  <c r="F18" i="8"/>
  <c r="C5" i="5"/>
  <c r="D5" i="5"/>
  <c r="C6" i="5" l="1"/>
  <c r="C7" i="5"/>
  <c r="D7" i="5"/>
  <c r="D6" i="5"/>
  <c r="A1" i="9"/>
  <c r="E17" i="9" l="1"/>
  <c r="E19" i="9" s="1"/>
  <c r="E25" i="1" l="1"/>
  <c r="H16" i="8" s="1"/>
  <c r="E21" i="9"/>
  <c r="E23" i="9" s="1"/>
  <c r="C32" i="6"/>
  <c r="H18" i="8" l="1"/>
  <c r="I16" i="8"/>
  <c r="I18" i="8" s="1"/>
  <c r="B18" i="3"/>
  <c r="E18" i="8" l="1"/>
  <c r="E3" i="1"/>
  <c r="B17" i="5" l="1"/>
  <c r="R51" i="3"/>
  <c r="Q49" i="3"/>
  <c r="P49" i="3"/>
  <c r="O49" i="3"/>
  <c r="N49" i="3"/>
  <c r="M49" i="3"/>
  <c r="L49" i="3"/>
  <c r="K49" i="3"/>
  <c r="J49" i="3"/>
  <c r="I49" i="3"/>
  <c r="H49" i="3"/>
  <c r="G49" i="3"/>
  <c r="F49" i="3"/>
  <c r="Q48" i="3"/>
  <c r="P48" i="3"/>
  <c r="O48" i="3"/>
  <c r="N48" i="3"/>
  <c r="M48" i="3"/>
  <c r="L48" i="3"/>
  <c r="K48" i="3"/>
  <c r="J48" i="3"/>
  <c r="I48" i="3"/>
  <c r="H48" i="3"/>
  <c r="G48" i="3"/>
  <c r="F48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B47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B45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R41" i="3"/>
  <c r="R40" i="3"/>
  <c r="R39" i="3"/>
  <c r="R38" i="3"/>
  <c r="R37" i="3"/>
  <c r="R36" i="3"/>
  <c r="R35" i="3"/>
  <c r="R34" i="3"/>
  <c r="R33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B32" i="3"/>
  <c r="R25" i="3"/>
  <c r="Q23" i="3"/>
  <c r="S10" i="6" s="1"/>
  <c r="P23" i="3"/>
  <c r="O23" i="3"/>
  <c r="Q10" i="6" s="1"/>
  <c r="N23" i="3"/>
  <c r="P10" i="6" s="1"/>
  <c r="M23" i="3"/>
  <c r="O10" i="6" s="1"/>
  <c r="L23" i="3"/>
  <c r="N10" i="6" s="1"/>
  <c r="K23" i="3"/>
  <c r="M10" i="6" s="1"/>
  <c r="J23" i="3"/>
  <c r="L10" i="6" s="1"/>
  <c r="I23" i="3"/>
  <c r="K10" i="6" s="1"/>
  <c r="H23" i="3"/>
  <c r="J10" i="6" s="1"/>
  <c r="G23" i="3"/>
  <c r="I10" i="6" s="1"/>
  <c r="F23" i="3"/>
  <c r="H10" i="6" s="1"/>
  <c r="Q22" i="3"/>
  <c r="S9" i="6" s="1"/>
  <c r="P22" i="3"/>
  <c r="R9" i="6" s="1"/>
  <c r="O22" i="3"/>
  <c r="N22" i="3"/>
  <c r="P9" i="6" s="1"/>
  <c r="M22" i="3"/>
  <c r="O9" i="6" s="1"/>
  <c r="L22" i="3"/>
  <c r="N9" i="6" s="1"/>
  <c r="K22" i="3"/>
  <c r="M9" i="6" s="1"/>
  <c r="J22" i="3"/>
  <c r="I22" i="3"/>
  <c r="K9" i="6" s="1"/>
  <c r="H22" i="3"/>
  <c r="J9" i="6" s="1"/>
  <c r="G22" i="3"/>
  <c r="I9" i="6" s="1"/>
  <c r="F22" i="3"/>
  <c r="H9" i="6" s="1"/>
  <c r="Q21" i="3"/>
  <c r="S8" i="6" s="1"/>
  <c r="P21" i="3"/>
  <c r="R8" i="6" s="1"/>
  <c r="O21" i="3"/>
  <c r="Q8" i="6" s="1"/>
  <c r="N21" i="3"/>
  <c r="P8" i="6" s="1"/>
  <c r="M21" i="3"/>
  <c r="O8" i="6" s="1"/>
  <c r="L21" i="3"/>
  <c r="N8" i="6" s="1"/>
  <c r="K21" i="3"/>
  <c r="M8" i="6" s="1"/>
  <c r="J21" i="3"/>
  <c r="L8" i="6" s="1"/>
  <c r="I21" i="3"/>
  <c r="K8" i="6" s="1"/>
  <c r="H21" i="3"/>
  <c r="J8" i="6" s="1"/>
  <c r="G21" i="3"/>
  <c r="I8" i="6" s="1"/>
  <c r="F21" i="3"/>
  <c r="H8" i="6" s="1"/>
  <c r="Q20" i="3"/>
  <c r="S7" i="6" s="1"/>
  <c r="P20" i="3"/>
  <c r="R7" i="6" s="1"/>
  <c r="O20" i="3"/>
  <c r="Q7" i="6" s="1"/>
  <c r="N20" i="3"/>
  <c r="P7" i="6" s="1"/>
  <c r="M20" i="3"/>
  <c r="O7" i="6" s="1"/>
  <c r="L20" i="3"/>
  <c r="N7" i="6" s="1"/>
  <c r="K20" i="3"/>
  <c r="M7" i="6" s="1"/>
  <c r="J20" i="3"/>
  <c r="L7" i="6" s="1"/>
  <c r="I20" i="3"/>
  <c r="K7" i="6" s="1"/>
  <c r="H20" i="3"/>
  <c r="J7" i="6" s="1"/>
  <c r="G20" i="3"/>
  <c r="I7" i="6" s="1"/>
  <c r="F20" i="3"/>
  <c r="H7" i="6" s="1"/>
  <c r="Q19" i="3"/>
  <c r="S6" i="6" s="1"/>
  <c r="P19" i="3"/>
  <c r="R6" i="6" s="1"/>
  <c r="O19" i="3"/>
  <c r="Q6" i="6" s="1"/>
  <c r="N19" i="3"/>
  <c r="P6" i="6" s="1"/>
  <c r="M19" i="3"/>
  <c r="O6" i="6" s="1"/>
  <c r="L19" i="3"/>
  <c r="N6" i="6" s="1"/>
  <c r="K19" i="3"/>
  <c r="M6" i="6" s="1"/>
  <c r="J19" i="3"/>
  <c r="L6" i="6" s="1"/>
  <c r="I19" i="3"/>
  <c r="K6" i="6" s="1"/>
  <c r="H19" i="3"/>
  <c r="J6" i="6" s="1"/>
  <c r="G19" i="3"/>
  <c r="I6" i="6" s="1"/>
  <c r="F19" i="3"/>
  <c r="Q18" i="3"/>
  <c r="S5" i="6" s="1"/>
  <c r="P18" i="3"/>
  <c r="O18" i="3"/>
  <c r="Q5" i="6" s="1"/>
  <c r="N18" i="3"/>
  <c r="N26" i="3" s="1"/>
  <c r="M18" i="3"/>
  <c r="O5" i="6" s="1"/>
  <c r="L18" i="3"/>
  <c r="K18" i="3"/>
  <c r="M5" i="6" s="1"/>
  <c r="J18" i="3"/>
  <c r="J26" i="3" s="1"/>
  <c r="I18" i="3"/>
  <c r="K5" i="6" s="1"/>
  <c r="H18" i="3"/>
  <c r="G18" i="3"/>
  <c r="I5" i="6" s="1"/>
  <c r="F18" i="3"/>
  <c r="F26" i="3" s="1"/>
  <c r="R15" i="3"/>
  <c r="R14" i="3"/>
  <c r="R13" i="3"/>
  <c r="R12" i="3"/>
  <c r="R11" i="3"/>
  <c r="R10" i="3"/>
  <c r="R9" i="3"/>
  <c r="R8" i="3"/>
  <c r="R7" i="3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G20" i="6"/>
  <c r="F20" i="6"/>
  <c r="E20" i="6"/>
  <c r="D20" i="6"/>
  <c r="G19" i="6"/>
  <c r="F19" i="6"/>
  <c r="E19" i="6"/>
  <c r="D19" i="6"/>
  <c r="G18" i="6"/>
  <c r="F18" i="6"/>
  <c r="E18" i="6"/>
  <c r="D18" i="6"/>
  <c r="G17" i="6"/>
  <c r="F17" i="6"/>
  <c r="E17" i="6"/>
  <c r="D17" i="6"/>
  <c r="G16" i="6"/>
  <c r="F16" i="6"/>
  <c r="E16" i="6"/>
  <c r="D16" i="6"/>
  <c r="G15" i="6"/>
  <c r="F15" i="6"/>
  <c r="E15" i="6"/>
  <c r="D15" i="6"/>
  <c r="R10" i="6"/>
  <c r="Q9" i="6"/>
  <c r="L9" i="6"/>
  <c r="E3" i="8"/>
  <c r="C22" i="2"/>
  <c r="A19" i="2"/>
  <c r="A18" i="2"/>
  <c r="A17" i="2"/>
  <c r="A16" i="2"/>
  <c r="A15" i="2"/>
  <c r="A14" i="2"/>
  <c r="A13" i="2"/>
  <c r="A12" i="2"/>
  <c r="A11" i="2"/>
  <c r="A10" i="2"/>
  <c r="A9" i="2"/>
  <c r="A8" i="2"/>
  <c r="I50" i="3" l="1"/>
  <c r="M50" i="3"/>
  <c r="Q52" i="3"/>
  <c r="F52" i="3"/>
  <c r="J52" i="3"/>
  <c r="N52" i="3"/>
  <c r="G52" i="3"/>
  <c r="K52" i="3"/>
  <c r="O52" i="3"/>
  <c r="H50" i="3"/>
  <c r="L50" i="3"/>
  <c r="P50" i="3"/>
  <c r="P5" i="6"/>
  <c r="R16" i="3"/>
  <c r="C8" i="5"/>
  <c r="R42" i="3"/>
  <c r="R19" i="3"/>
  <c r="E10" i="2" s="1"/>
  <c r="J24" i="3"/>
  <c r="L5" i="6"/>
  <c r="L11" i="6" s="1"/>
  <c r="H5" i="6"/>
  <c r="H6" i="6"/>
  <c r="R45" i="3"/>
  <c r="E12" i="2" s="1"/>
  <c r="Q50" i="3"/>
  <c r="R46" i="3"/>
  <c r="F12" i="2" s="1"/>
  <c r="R47" i="3"/>
  <c r="G12" i="2" s="1"/>
  <c r="R48" i="3"/>
  <c r="H12" i="2" s="1"/>
  <c r="R49" i="3"/>
  <c r="F50" i="3"/>
  <c r="J50" i="3"/>
  <c r="N50" i="3"/>
  <c r="H52" i="3"/>
  <c r="L52" i="3"/>
  <c r="P52" i="3"/>
  <c r="G50" i="3"/>
  <c r="K50" i="3"/>
  <c r="O50" i="3"/>
  <c r="I52" i="3"/>
  <c r="M52" i="3"/>
  <c r="R44" i="3"/>
  <c r="I11" i="6"/>
  <c r="Q11" i="6"/>
  <c r="R20" i="3"/>
  <c r="F10" i="2" s="1"/>
  <c r="M11" i="6"/>
  <c r="G24" i="3"/>
  <c r="K24" i="3"/>
  <c r="O24" i="3"/>
  <c r="R21" i="3"/>
  <c r="G10" i="2" s="1"/>
  <c r="R22" i="3"/>
  <c r="H10" i="2" s="1"/>
  <c r="R23" i="3"/>
  <c r="I10" i="2" s="1"/>
  <c r="F24" i="3"/>
  <c r="H24" i="3"/>
  <c r="J5" i="6"/>
  <c r="L24" i="3"/>
  <c r="N5" i="6"/>
  <c r="P24" i="3"/>
  <c r="R5" i="6"/>
  <c r="H26" i="3"/>
  <c r="I26" i="3"/>
  <c r="M26" i="3"/>
  <c r="Q26" i="3"/>
  <c r="N24" i="3"/>
  <c r="L26" i="3"/>
  <c r="P26" i="3"/>
  <c r="P11" i="6"/>
  <c r="I24" i="3"/>
  <c r="M24" i="3"/>
  <c r="Q24" i="3"/>
  <c r="G26" i="3"/>
  <c r="K26" i="3"/>
  <c r="O26" i="3"/>
  <c r="K11" i="6"/>
  <c r="O11" i="6"/>
  <c r="S11" i="6"/>
  <c r="R18" i="3"/>
  <c r="D8" i="5" l="1"/>
  <c r="S12" i="6"/>
  <c r="P12" i="6"/>
  <c r="M12" i="6"/>
  <c r="H11" i="6"/>
  <c r="H12" i="6" s="1"/>
  <c r="R26" i="3"/>
  <c r="K12" i="6"/>
  <c r="L12" i="6"/>
  <c r="R52" i="3"/>
  <c r="D12" i="2"/>
  <c r="C12" i="2" s="1"/>
  <c r="R50" i="3"/>
  <c r="R24" i="3"/>
  <c r="D10" i="2"/>
  <c r="R11" i="6"/>
  <c r="R12" i="6" s="1"/>
  <c r="J11" i="6"/>
  <c r="J12" i="6" s="1"/>
  <c r="I12" i="6"/>
  <c r="N11" i="6"/>
  <c r="N12" i="6" s="1"/>
  <c r="O12" i="6"/>
  <c r="Q12" i="6"/>
  <c r="D23" i="3"/>
  <c r="F10" i="6" s="1"/>
  <c r="F29" i="6" s="1"/>
  <c r="F38" i="6" s="1"/>
  <c r="D19" i="3"/>
  <c r="F6" i="6" s="1"/>
  <c r="F25" i="6" s="1"/>
  <c r="F34" i="6" s="1"/>
  <c r="C22" i="3"/>
  <c r="E9" i="6" s="1"/>
  <c r="E28" i="6" s="1"/>
  <c r="E37" i="6" s="1"/>
  <c r="B23" i="3"/>
  <c r="D10" i="6" s="1"/>
  <c r="C19" i="3"/>
  <c r="E6" i="6" s="1"/>
  <c r="E25" i="6" s="1"/>
  <c r="E34" i="6" s="1"/>
  <c r="B22" i="3"/>
  <c r="D9" i="6" s="1"/>
  <c r="C21" i="3"/>
  <c r="E8" i="6" s="1"/>
  <c r="E27" i="6" s="1"/>
  <c r="E36" i="6" s="1"/>
  <c r="E23" i="3"/>
  <c r="G10" i="6" s="1"/>
  <c r="G29" i="6" s="1"/>
  <c r="G38" i="6" s="1"/>
  <c r="E20" i="3"/>
  <c r="G7" i="6" s="1"/>
  <c r="G26" i="6" s="1"/>
  <c r="G35" i="6" s="1"/>
  <c r="B21" i="3"/>
  <c r="D8" i="6" s="1"/>
  <c r="D22" i="3"/>
  <c r="F9" i="6" s="1"/>
  <c r="F28" i="6" s="1"/>
  <c r="F37" i="6" s="1"/>
  <c r="B19" i="3"/>
  <c r="E21" i="3"/>
  <c r="G8" i="6" s="1"/>
  <c r="G27" i="6" s="1"/>
  <c r="G36" i="6" s="1"/>
  <c r="B20" i="3"/>
  <c r="D7" i="6" s="1"/>
  <c r="D18" i="3"/>
  <c r="F5" i="6" s="1"/>
  <c r="D20" i="3"/>
  <c r="F7" i="6" s="1"/>
  <c r="F26" i="6" s="1"/>
  <c r="F35" i="6" s="1"/>
  <c r="C23" i="3"/>
  <c r="E10" i="6" s="1"/>
  <c r="E29" i="6" s="1"/>
  <c r="E38" i="6" s="1"/>
  <c r="C20" i="3"/>
  <c r="E7" i="6" s="1"/>
  <c r="E26" i="6" s="1"/>
  <c r="E35" i="6" s="1"/>
  <c r="D21" i="3"/>
  <c r="F8" i="6" s="1"/>
  <c r="F27" i="6" s="1"/>
  <c r="F36" i="6" s="1"/>
  <c r="E22" i="3"/>
  <c r="G9" i="6" s="1"/>
  <c r="G28" i="6" s="1"/>
  <c r="G37" i="6" s="1"/>
  <c r="E19" i="3"/>
  <c r="G6" i="6" s="1"/>
  <c r="G25" i="6" s="1"/>
  <c r="G34" i="6" s="1"/>
  <c r="E18" i="3"/>
  <c r="C18" i="3"/>
  <c r="E5" i="6" s="1"/>
  <c r="D26" i="6" l="1"/>
  <c r="D35" i="6" s="1"/>
  <c r="T7" i="6"/>
  <c r="D27" i="6"/>
  <c r="D36" i="6" s="1"/>
  <c r="T8" i="6"/>
  <c r="D28" i="6"/>
  <c r="D37" i="6" s="1"/>
  <c r="T9" i="6"/>
  <c r="D29" i="6"/>
  <c r="D38" i="6" s="1"/>
  <c r="T10" i="6"/>
  <c r="D6" i="6"/>
  <c r="B26" i="3"/>
  <c r="D9" i="2"/>
  <c r="D11" i="2" s="1"/>
  <c r="D16" i="2" s="1"/>
  <c r="C44" i="2" s="1"/>
  <c r="E26" i="3"/>
  <c r="C10" i="2"/>
  <c r="G5" i="6"/>
  <c r="G24" i="6" s="1"/>
  <c r="D26" i="3"/>
  <c r="B24" i="3"/>
  <c r="E11" i="6"/>
  <c r="E24" i="6"/>
  <c r="F11" i="6"/>
  <c r="E24" i="3"/>
  <c r="C24" i="3"/>
  <c r="G11" i="6"/>
  <c r="C26" i="3"/>
  <c r="D24" i="3"/>
  <c r="D5" i="6"/>
  <c r="T5" i="6" s="1"/>
  <c r="F24" i="6"/>
  <c r="D25" i="6" l="1"/>
  <c r="D34" i="6" s="1"/>
  <c r="T6" i="6"/>
  <c r="T11" i="6" s="1"/>
  <c r="G33" i="6"/>
  <c r="G39" i="6" s="1"/>
  <c r="H3" i="5" s="1"/>
  <c r="H5" i="5" s="1"/>
  <c r="G30" i="6"/>
  <c r="E9" i="2"/>
  <c r="E11" i="2" s="1"/>
  <c r="F9" i="2"/>
  <c r="F11" i="2" s="1"/>
  <c r="H9" i="2"/>
  <c r="H11" i="2" s="1"/>
  <c r="G9" i="2"/>
  <c r="G11" i="2" s="1"/>
  <c r="I9" i="2"/>
  <c r="I11" i="2" s="1"/>
  <c r="I16" i="2" s="1"/>
  <c r="F30" i="6"/>
  <c r="F33" i="6"/>
  <c r="F39" i="6" s="1"/>
  <c r="G3" i="5" s="1"/>
  <c r="G5" i="5" s="1"/>
  <c r="D24" i="6"/>
  <c r="D11" i="6"/>
  <c r="E30" i="6"/>
  <c r="E33" i="6"/>
  <c r="E39" i="6" s="1"/>
  <c r="F3" i="5" l="1"/>
  <c r="F5" i="5" s="1"/>
  <c r="C8" i="2"/>
  <c r="F16" i="2"/>
  <c r="F13" i="2"/>
  <c r="F14" i="2"/>
  <c r="S20" i="6"/>
  <c r="S29" i="6" s="1"/>
  <c r="S38" i="6" s="1"/>
  <c r="N20" i="6"/>
  <c r="N29" i="6" s="1"/>
  <c r="N38" i="6" s="1"/>
  <c r="H20" i="6"/>
  <c r="H29" i="6" s="1"/>
  <c r="H38" i="6" s="1"/>
  <c r="I20" i="6"/>
  <c r="I29" i="6" s="1"/>
  <c r="I38" i="6" s="1"/>
  <c r="O20" i="6"/>
  <c r="O29" i="6" s="1"/>
  <c r="O38" i="6" s="1"/>
  <c r="J20" i="6"/>
  <c r="J29" i="6" s="1"/>
  <c r="J38" i="6" s="1"/>
  <c r="Q20" i="6"/>
  <c r="Q29" i="6" s="1"/>
  <c r="Q38" i="6" s="1"/>
  <c r="K20" i="6"/>
  <c r="K29" i="6" s="1"/>
  <c r="K38" i="6" s="1"/>
  <c r="P20" i="6"/>
  <c r="P29" i="6" s="1"/>
  <c r="P38" i="6" s="1"/>
  <c r="I18" i="2"/>
  <c r="I19" i="2" s="1"/>
  <c r="I23" i="2" s="1"/>
  <c r="O51" i="2" s="1"/>
  <c r="R20" i="6"/>
  <c r="R29" i="6" s="1"/>
  <c r="R38" i="6" s="1"/>
  <c r="L20" i="6"/>
  <c r="L29" i="6" s="1"/>
  <c r="L38" i="6" s="1"/>
  <c r="M20" i="6"/>
  <c r="M29" i="6" s="1"/>
  <c r="M38" i="6" s="1"/>
  <c r="E13" i="2"/>
  <c r="E14" i="2"/>
  <c r="E16" i="2"/>
  <c r="G16" i="2"/>
  <c r="G13" i="2"/>
  <c r="G14" i="2"/>
  <c r="H16" i="2"/>
  <c r="H13" i="2"/>
  <c r="H14" i="2"/>
  <c r="D30" i="6"/>
  <c r="D33" i="6"/>
  <c r="D39" i="6" s="1"/>
  <c r="E3" i="5" l="1"/>
  <c r="E5" i="5" s="1"/>
  <c r="E7" i="5" s="1"/>
  <c r="R18" i="6"/>
  <c r="R27" i="6" s="1"/>
  <c r="R36" i="6" s="1"/>
  <c r="L18" i="6"/>
  <c r="L27" i="6" s="1"/>
  <c r="L36" i="6" s="1"/>
  <c r="G18" i="2"/>
  <c r="G19" i="2" s="1"/>
  <c r="G23" i="2" s="1"/>
  <c r="O49" i="2" s="1"/>
  <c r="S18" i="6"/>
  <c r="S27" i="6" s="1"/>
  <c r="S36" i="6" s="1"/>
  <c r="N18" i="6"/>
  <c r="N27" i="6" s="1"/>
  <c r="N36" i="6" s="1"/>
  <c r="H18" i="6"/>
  <c r="H27" i="6" s="1"/>
  <c r="H36" i="6" s="1"/>
  <c r="M18" i="6"/>
  <c r="M27" i="6" s="1"/>
  <c r="M36" i="6" s="1"/>
  <c r="O18" i="6"/>
  <c r="O27" i="6" s="1"/>
  <c r="O36" i="6" s="1"/>
  <c r="J18" i="6"/>
  <c r="J27" i="6" s="1"/>
  <c r="J36" i="6" s="1"/>
  <c r="I18" i="6"/>
  <c r="I27" i="6" s="1"/>
  <c r="I36" i="6" s="1"/>
  <c r="K18" i="6"/>
  <c r="K27" i="6" s="1"/>
  <c r="K36" i="6" s="1"/>
  <c r="P18" i="6"/>
  <c r="P27" i="6" s="1"/>
  <c r="P36" i="6" s="1"/>
  <c r="Q18" i="6"/>
  <c r="Q27" i="6" s="1"/>
  <c r="Q36" i="6" s="1"/>
  <c r="R19" i="6"/>
  <c r="R28" i="6" s="1"/>
  <c r="R37" i="6" s="1"/>
  <c r="L19" i="6"/>
  <c r="L28" i="6" s="1"/>
  <c r="L37" i="6" s="1"/>
  <c r="Q19" i="6"/>
  <c r="Q28" i="6" s="1"/>
  <c r="Q37" i="6" s="1"/>
  <c r="S19" i="6"/>
  <c r="S28" i="6" s="1"/>
  <c r="S37" i="6" s="1"/>
  <c r="N19" i="6"/>
  <c r="N28" i="6" s="1"/>
  <c r="N37" i="6" s="1"/>
  <c r="H19" i="6"/>
  <c r="H28" i="6" s="1"/>
  <c r="H37" i="6" s="1"/>
  <c r="H18" i="2"/>
  <c r="H19" i="2" s="1"/>
  <c r="H23" i="2" s="1"/>
  <c r="O50" i="2" s="1"/>
  <c r="O19" i="6"/>
  <c r="O28" i="6" s="1"/>
  <c r="O37" i="6" s="1"/>
  <c r="J19" i="6"/>
  <c r="J28" i="6" s="1"/>
  <c r="J37" i="6" s="1"/>
  <c r="M19" i="6"/>
  <c r="M28" i="6" s="1"/>
  <c r="M37" i="6" s="1"/>
  <c r="K19" i="6"/>
  <c r="K28" i="6" s="1"/>
  <c r="K37" i="6" s="1"/>
  <c r="P19" i="6"/>
  <c r="P28" i="6" s="1"/>
  <c r="P37" i="6" s="1"/>
  <c r="I19" i="6"/>
  <c r="I28" i="6" s="1"/>
  <c r="I37" i="6" s="1"/>
  <c r="K16" i="6"/>
  <c r="K25" i="6" s="1"/>
  <c r="K34" i="6" s="1"/>
  <c r="P16" i="6"/>
  <c r="P25" i="6" s="1"/>
  <c r="P34" i="6" s="1"/>
  <c r="E18" i="2"/>
  <c r="E19" i="2" s="1"/>
  <c r="E23" i="2" s="1"/>
  <c r="O47" i="2" s="1"/>
  <c r="R16" i="6"/>
  <c r="R25" i="6" s="1"/>
  <c r="R34" i="6" s="1"/>
  <c r="L16" i="6"/>
  <c r="L25" i="6" s="1"/>
  <c r="L34" i="6" s="1"/>
  <c r="M16" i="6"/>
  <c r="M25" i="6" s="1"/>
  <c r="M34" i="6" s="1"/>
  <c r="S16" i="6"/>
  <c r="S25" i="6" s="1"/>
  <c r="S34" i="6" s="1"/>
  <c r="N16" i="6"/>
  <c r="N25" i="6" s="1"/>
  <c r="N34" i="6" s="1"/>
  <c r="H16" i="6"/>
  <c r="H25" i="6" s="1"/>
  <c r="H34" i="6" s="1"/>
  <c r="I16" i="6"/>
  <c r="I25" i="6" s="1"/>
  <c r="I34" i="6" s="1"/>
  <c r="O16" i="6"/>
  <c r="O25" i="6" s="1"/>
  <c r="O34" i="6" s="1"/>
  <c r="J16" i="6"/>
  <c r="J25" i="6" s="1"/>
  <c r="J34" i="6" s="1"/>
  <c r="Q16" i="6"/>
  <c r="Q25" i="6" s="1"/>
  <c r="Q34" i="6" s="1"/>
  <c r="D13" i="2"/>
  <c r="D14" i="2"/>
  <c r="K17" i="6"/>
  <c r="K26" i="6" s="1"/>
  <c r="K35" i="6" s="1"/>
  <c r="P17" i="6"/>
  <c r="P26" i="6" s="1"/>
  <c r="P35" i="6" s="1"/>
  <c r="M17" i="6"/>
  <c r="M26" i="6" s="1"/>
  <c r="M35" i="6" s="1"/>
  <c r="R17" i="6"/>
  <c r="R26" i="6" s="1"/>
  <c r="R35" i="6" s="1"/>
  <c r="L17" i="6"/>
  <c r="L26" i="6" s="1"/>
  <c r="L35" i="6" s="1"/>
  <c r="I17" i="6"/>
  <c r="I26" i="6" s="1"/>
  <c r="I35" i="6" s="1"/>
  <c r="S17" i="6"/>
  <c r="S26" i="6" s="1"/>
  <c r="S35" i="6" s="1"/>
  <c r="N17" i="6"/>
  <c r="N26" i="6" s="1"/>
  <c r="N35" i="6" s="1"/>
  <c r="H17" i="6"/>
  <c r="H26" i="6" s="1"/>
  <c r="H35" i="6" s="1"/>
  <c r="F18" i="2"/>
  <c r="F19" i="2" s="1"/>
  <c r="F23" i="2" s="1"/>
  <c r="O48" i="2" s="1"/>
  <c r="O17" i="6"/>
  <c r="O26" i="6" s="1"/>
  <c r="O35" i="6" s="1"/>
  <c r="J17" i="6"/>
  <c r="J26" i="6" s="1"/>
  <c r="J35" i="6" s="1"/>
  <c r="Q17" i="6"/>
  <c r="Q26" i="6" s="1"/>
  <c r="Q35" i="6" s="1"/>
  <c r="E6" i="5" l="1"/>
  <c r="F7" i="5" s="1"/>
  <c r="D26" i="2"/>
  <c r="R15" i="6"/>
  <c r="R24" i="6" s="1"/>
  <c r="L15" i="6"/>
  <c r="L24" i="6" s="1"/>
  <c r="Q15" i="6"/>
  <c r="Q24" i="6" s="1"/>
  <c r="S15" i="6"/>
  <c r="S24" i="6" s="1"/>
  <c r="N15" i="6"/>
  <c r="N24" i="6" s="1"/>
  <c r="H15" i="6"/>
  <c r="H24" i="6" s="1"/>
  <c r="H33" i="6" s="1"/>
  <c r="D18" i="2"/>
  <c r="O15" i="6"/>
  <c r="O24" i="6" s="1"/>
  <c r="J15" i="6"/>
  <c r="J24" i="6" s="1"/>
  <c r="M15" i="6"/>
  <c r="M24" i="6" s="1"/>
  <c r="K15" i="6"/>
  <c r="K24" i="6" s="1"/>
  <c r="P15" i="6"/>
  <c r="P24" i="6" s="1"/>
  <c r="I15" i="6"/>
  <c r="I24" i="6" s="1"/>
  <c r="E8" i="5" l="1"/>
  <c r="F6" i="5"/>
  <c r="G7" i="5" s="1"/>
  <c r="D19" i="2"/>
  <c r="C19" i="2" s="1"/>
  <c r="C23" i="2" s="1"/>
  <c r="O52" i="2" s="1"/>
  <c r="O40" i="2"/>
  <c r="P40" i="2" s="1"/>
  <c r="O41" i="2"/>
  <c r="M30" i="6"/>
  <c r="M33" i="6"/>
  <c r="M39" i="6" s="1"/>
  <c r="N3" i="5" s="1"/>
  <c r="N5" i="5" s="1"/>
  <c r="H39" i="6"/>
  <c r="I3" i="5" s="1"/>
  <c r="H30" i="6"/>
  <c r="L33" i="6"/>
  <c r="L39" i="6" s="1"/>
  <c r="M3" i="5" s="1"/>
  <c r="M5" i="5" s="1"/>
  <c r="L30" i="6"/>
  <c r="I30" i="6"/>
  <c r="I33" i="6"/>
  <c r="I39" i="6" s="1"/>
  <c r="J3" i="5" s="1"/>
  <c r="J5" i="5" s="1"/>
  <c r="J33" i="6"/>
  <c r="J39" i="6" s="1"/>
  <c r="K3" i="5" s="1"/>
  <c r="K5" i="5" s="1"/>
  <c r="J30" i="6"/>
  <c r="N33" i="6"/>
  <c r="N39" i="6" s="1"/>
  <c r="O3" i="5" s="1"/>
  <c r="O5" i="5" s="1"/>
  <c r="N30" i="6"/>
  <c r="R33" i="6"/>
  <c r="R39" i="6" s="1"/>
  <c r="S3" i="5" s="1"/>
  <c r="S5" i="5" s="1"/>
  <c r="R30" i="6"/>
  <c r="P30" i="6"/>
  <c r="P33" i="6"/>
  <c r="P39" i="6" s="1"/>
  <c r="Q3" i="5" s="1"/>
  <c r="Q5" i="5" s="1"/>
  <c r="O33" i="6"/>
  <c r="O39" i="6" s="1"/>
  <c r="P3" i="5" s="1"/>
  <c r="P5" i="5" s="1"/>
  <c r="O30" i="6"/>
  <c r="S33" i="6"/>
  <c r="S39" i="6" s="1"/>
  <c r="T3" i="5" s="1"/>
  <c r="T5" i="5" s="1"/>
  <c r="S30" i="6"/>
  <c r="K33" i="6"/>
  <c r="K39" i="6" s="1"/>
  <c r="L3" i="5" s="1"/>
  <c r="L5" i="5" s="1"/>
  <c r="K30" i="6"/>
  <c r="Q33" i="6"/>
  <c r="Q39" i="6" s="1"/>
  <c r="R3" i="5" s="1"/>
  <c r="R5" i="5" s="1"/>
  <c r="Q30" i="6"/>
  <c r="D23" i="2" l="1"/>
  <c r="O46" i="2" s="1"/>
  <c r="F8" i="5"/>
  <c r="G6" i="5"/>
  <c r="H7" i="5" s="1"/>
  <c r="O42" i="2"/>
  <c r="P42" i="2" s="1"/>
  <c r="P41" i="2"/>
  <c r="B18" i="5"/>
  <c r="I5" i="5"/>
  <c r="G8" i="5" l="1"/>
  <c r="H6" i="5"/>
  <c r="H8" i="5" l="1"/>
  <c r="B16" i="5" l="1"/>
  <c r="E17" i="1"/>
  <c r="E19" i="1" s="1"/>
  <c r="I6" i="5"/>
  <c r="J7" i="5" s="1"/>
  <c r="I8" i="5" l="1"/>
  <c r="J6" i="5"/>
  <c r="K7" i="5" s="1"/>
  <c r="K6" i="5" l="1"/>
  <c r="L7" i="5" s="1"/>
  <c r="J8" i="5"/>
  <c r="K8" i="5" l="1"/>
  <c r="L6" i="5"/>
  <c r="M7" i="5" s="1"/>
  <c r="L8" i="5" l="1"/>
  <c r="M6" i="5"/>
  <c r="N7" i="5" s="1"/>
  <c r="N6" i="5" l="1"/>
  <c r="M8" i="5"/>
  <c r="N8" i="5" l="1"/>
  <c r="O6" i="5" l="1"/>
  <c r="P7" i="5" s="1"/>
  <c r="O8" i="5" l="1"/>
  <c r="P6" i="5"/>
  <c r="Q7" i="5" s="1"/>
  <c r="P8" i="5" l="1"/>
  <c r="Q6" i="5"/>
  <c r="R7" i="5" s="1"/>
  <c r="Q8" i="5" l="1"/>
  <c r="R6" i="5"/>
  <c r="S7" i="5" s="1"/>
  <c r="R8" i="5" l="1"/>
  <c r="S6" i="5"/>
  <c r="T6" i="5" s="1"/>
  <c r="T7" i="5" l="1"/>
  <c r="B19" i="5" s="1"/>
  <c r="E21" i="1" s="1"/>
  <c r="S8" i="5"/>
  <c r="E23" i="1" l="1"/>
  <c r="E27" i="1" s="1"/>
  <c r="U30" i="6" s="1"/>
  <c r="B20" i="5"/>
  <c r="T8" i="5"/>
  <c r="B49" i="3"/>
  <c r="E48" i="3"/>
  <c r="D49" i="3"/>
  <c r="C49" i="3"/>
  <c r="D48" i="3"/>
  <c r="E49" i="3"/>
  <c r="E50" i="3" s="1"/>
  <c r="C48" i="3"/>
  <c r="B48" i="3"/>
  <c r="B52" i="3" s="1"/>
  <c r="U39" i="6" l="1"/>
  <c r="D52" i="3"/>
  <c r="C52" i="3"/>
  <c r="C50" i="3"/>
  <c r="D50" i="3"/>
  <c r="B50" i="3"/>
  <c r="E52" i="3"/>
</calcChain>
</file>

<file path=xl/comments1.xml><?xml version="1.0" encoding="utf-8"?>
<comments xmlns="http://schemas.openxmlformats.org/spreadsheetml/2006/main">
  <authors>
    <author>annette brandon</author>
  </authors>
  <commentList>
    <comment ref="C24" authorId="0" shapeId="0">
      <text>
        <r>
          <rPr>
            <b/>
            <sz val="9"/>
            <color indexed="81"/>
            <rFont val="Tahoma"/>
            <family val="2"/>
          </rPr>
          <t>annette brandon:</t>
        </r>
        <r>
          <rPr>
            <sz val="9"/>
            <color indexed="81"/>
            <rFont val="Tahoma"/>
            <family val="2"/>
          </rPr>
          <t xml:space="preserve">
COD: 2.89% x (1-.21) = 2.28
COE: 4.61%
Total 6.89%</t>
        </r>
      </text>
    </comment>
  </commentList>
</comments>
</file>

<file path=xl/sharedStrings.xml><?xml version="1.0" encoding="utf-8"?>
<sst xmlns="http://schemas.openxmlformats.org/spreadsheetml/2006/main" count="236" uniqueCount="166">
  <si>
    <t>Total</t>
  </si>
  <si>
    <t>aMW</t>
  </si>
  <si>
    <t>Rate</t>
  </si>
  <si>
    <t>REC Revenues Rebate Allocation - Generation Level Consumption</t>
  </si>
  <si>
    <t xml:space="preserve"> </t>
  </si>
  <si>
    <t>RESIDENTIAL</t>
  </si>
  <si>
    <t xml:space="preserve">GENERAL SVC. </t>
  </si>
  <si>
    <t>LG. GEN. SVC.</t>
  </si>
  <si>
    <t>EX LG GEN SVC</t>
  </si>
  <si>
    <t>PUMPING</t>
  </si>
  <si>
    <t>ST &amp; AREA LTG</t>
  </si>
  <si>
    <t>DESCRIPTION</t>
  </si>
  <si>
    <t>TOTAL</t>
  </si>
  <si>
    <t>SCH. 11,12</t>
  </si>
  <si>
    <t>SCH. 21,22</t>
  </si>
  <si>
    <t>SCHEDULE 25</t>
  </si>
  <si>
    <t>SCH. 30, 31, 32</t>
  </si>
  <si>
    <t>SCH. 41-48</t>
  </si>
  <si>
    <t>Line No.</t>
  </si>
  <si>
    <t>A</t>
  </si>
  <si>
    <t>B</t>
  </si>
  <si>
    <t>C</t>
  </si>
  <si>
    <t>D</t>
  </si>
  <si>
    <t xml:space="preserve">E </t>
  </si>
  <si>
    <t>F</t>
  </si>
  <si>
    <t>H</t>
  </si>
  <si>
    <t>I</t>
  </si>
  <si>
    <t>J</t>
  </si>
  <si>
    <t>Generation Allocated</t>
  </si>
  <si>
    <t>Total Generation Percentage</t>
  </si>
  <si>
    <t>(1)</t>
  </si>
  <si>
    <t>Annual Load (Rate Year)</t>
  </si>
  <si>
    <t>(2)</t>
  </si>
  <si>
    <t>Cents Per kWh Rate</t>
  </si>
  <si>
    <t>Total Bills</t>
  </si>
  <si>
    <t>Avg Monthly Credit Per Customer</t>
  </si>
  <si>
    <t>Avg Annual Credit Per Customer</t>
  </si>
  <si>
    <t>Proposed Cents per kWh Rate</t>
  </si>
  <si>
    <t>Present Cents per kWh Rate</t>
  </si>
  <si>
    <t>Difference in Rate</t>
  </si>
  <si>
    <t>Change in Revenue</t>
  </si>
  <si>
    <t>Gross Up Factor</t>
  </si>
  <si>
    <t>Grossed Up Revenue Requirement</t>
  </si>
  <si>
    <t>WA001</t>
  </si>
  <si>
    <t>WA011</t>
  </si>
  <si>
    <t>WA012</t>
  </si>
  <si>
    <t>WA021</t>
  </si>
  <si>
    <t>WA022</t>
  </si>
  <si>
    <t>WA025</t>
  </si>
  <si>
    <t>WA031</t>
  </si>
  <si>
    <t>WA032</t>
  </si>
  <si>
    <t>WA04X</t>
  </si>
  <si>
    <t>WA011/012</t>
  </si>
  <si>
    <t>WA021/022</t>
  </si>
  <si>
    <t>WA031/032</t>
  </si>
  <si>
    <t>Load</t>
  </si>
  <si>
    <t>Bills</t>
  </si>
  <si>
    <t>REVENUE CONVERSION FACTOR</t>
  </si>
  <si>
    <t>Expense:</t>
  </si>
  <si>
    <t xml:space="preserve">    Total Expense</t>
  </si>
  <si>
    <t>Net Operating Income Before FIT</t>
  </si>
  <si>
    <t>Present Billed Revenue</t>
  </si>
  <si>
    <t>Billed Percentage Change</t>
  </si>
  <si>
    <t>Residential Bill Percentage Change</t>
  </si>
  <si>
    <t>System Total</t>
  </si>
  <si>
    <t>PT Ratio</t>
  </si>
  <si>
    <t>Washington Share</t>
  </si>
  <si>
    <t>End March</t>
  </si>
  <si>
    <t>End April</t>
  </si>
  <si>
    <t>End May</t>
  </si>
  <si>
    <t>End June</t>
  </si>
  <si>
    <t>End July</t>
  </si>
  <si>
    <t>End August</t>
  </si>
  <si>
    <t>End September</t>
  </si>
  <si>
    <t>End October</t>
  </si>
  <si>
    <t>End November</t>
  </si>
  <si>
    <t>End December</t>
  </si>
  <si>
    <t>End January</t>
  </si>
  <si>
    <t>End February</t>
  </si>
  <si>
    <t>Net change in balance</t>
  </si>
  <si>
    <t>Interest on Previous Months Balance</t>
  </si>
  <si>
    <t>Forecasted Usage</t>
  </si>
  <si>
    <t>Residential Schedule 001</t>
  </si>
  <si>
    <t>General Svc Schedule 011/012</t>
  </si>
  <si>
    <t>Large Gen Svc Schedule 021/022</t>
  </si>
  <si>
    <t>Extra Large Gen Schedule 25</t>
  </si>
  <si>
    <t>Pumping Schedule 31/32</t>
  </si>
  <si>
    <t>Street and Area Lights</t>
  </si>
  <si>
    <t>Total Forecasted Usage</t>
  </si>
  <si>
    <t>Forecast End of June Balance</t>
  </si>
  <si>
    <t>Forecast Annual REC Sales</t>
  </si>
  <si>
    <t>Per rate order, REC rate is after tax cost of capital</t>
  </si>
  <si>
    <t>The monthly rate is:</t>
  </si>
  <si>
    <t>Interest</t>
  </si>
  <si>
    <t>REC Balance to be Recovered</t>
  </si>
  <si>
    <t>Forecasted Interest Calculation</t>
  </si>
  <si>
    <t>Total REC Balance to be Recovered</t>
  </si>
  <si>
    <t>goal seek to zero by changing (Rate Design - C9)</t>
  </si>
  <si>
    <t>Total Projected REC Balance as of June 2017</t>
  </si>
  <si>
    <t>Gross REC Revenue Amortization Credit</t>
  </si>
  <si>
    <t>REC Revenue Amortization Rates</t>
  </si>
  <si>
    <t>Expected net elec REC Amortization credit</t>
  </si>
  <si>
    <t>Cumulative Balance (Before Interest)</t>
  </si>
  <si>
    <t>Compound</t>
  </si>
  <si>
    <t>REC Revenue Balance</t>
  </si>
  <si>
    <t>Present Bill</t>
  </si>
  <si>
    <t>Basic Charge</t>
  </si>
  <si>
    <t>1st 800 kWhs</t>
  </si>
  <si>
    <t>Next 700 kWhs</t>
  </si>
  <si>
    <t>Less Bill Impact</t>
  </si>
  <si>
    <t>(Calendar Energy Usage by Rate Scheduled)</t>
  </si>
  <si>
    <t>(Total Customers by Rate Schedule)</t>
  </si>
  <si>
    <t>(Formulas from kWh Forecast)</t>
  </si>
  <si>
    <t>CALCULATION OF CONVERSION FACTOR:  WASHINGTON ELECTRIC</t>
  </si>
  <si>
    <t>Revenue:</t>
  </si>
  <si>
    <t xml:space="preserve">  Uncollectibles  (1)</t>
  </si>
  <si>
    <t xml:space="preserve">  Commission Fees  (2)</t>
  </si>
  <si>
    <t xml:space="preserve">  Washington Excise Tax  (3)</t>
  </si>
  <si>
    <t xml:space="preserve">  Federal Income Tax @</t>
  </si>
  <si>
    <t>check</t>
  </si>
  <si>
    <t>Proposed Bill after Rate Adjustment</t>
  </si>
  <si>
    <t>E02 Generation Allocator</t>
  </si>
  <si>
    <t xml:space="preserve"> Gray shaded box is Confidential per WAC-480-07-160</t>
  </si>
  <si>
    <t xml:space="preserve">EREVE Feb Mid-month 2.14.18 </t>
  </si>
  <si>
    <t>SCHEDULE 1, 2</t>
  </si>
  <si>
    <t>WA001/WA002</t>
  </si>
  <si>
    <t>July 2018 - June 2019 REC Revenue Forecast</t>
  </si>
  <si>
    <t>July 2018 - June 2019 Amortization Credit</t>
  </si>
  <si>
    <t>July 1, 2018 through June 30, 2019 Forecasted Loads (input)</t>
  </si>
  <si>
    <t>Residential Schedule 001/002</t>
  </si>
  <si>
    <t xml:space="preserve">Net REC Revenue Amortization Credit </t>
  </si>
  <si>
    <t>Bill at 938 kWhs</t>
  </si>
  <si>
    <t>Electric Service</t>
  </si>
  <si>
    <t>Current Bill Rate</t>
  </si>
  <si>
    <t>Proposed Increase</t>
  </si>
  <si>
    <t>Proposed Bill Rates</t>
  </si>
  <si>
    <t>First 800 Kwh/Month</t>
  </si>
  <si>
    <t>Next 700 Kwh/Month</t>
  </si>
  <si>
    <t>Over 1, 500 Kwh/Month</t>
  </si>
  <si>
    <t>Schedule No.</t>
  </si>
  <si>
    <t>1/2</t>
  </si>
  <si>
    <t>11/12</t>
  </si>
  <si>
    <t>21/22</t>
  </si>
  <si>
    <t>25</t>
  </si>
  <si>
    <t>31/32</t>
  </si>
  <si>
    <t>Rate Schedule</t>
  </si>
  <si>
    <t>Residential</t>
  </si>
  <si>
    <t>General Service Schedule</t>
  </si>
  <si>
    <t>Large General Service Schedule</t>
  </si>
  <si>
    <t>Pumping Service Schedule</t>
  </si>
  <si>
    <t>Ext. Lg General Service Schedule</t>
  </si>
  <si>
    <t>41-48</t>
  </si>
  <si>
    <t>Street and Area Lights Schedule</t>
  </si>
  <si>
    <t>Increase in Billed Revenue</t>
  </si>
  <si>
    <t>Overall</t>
  </si>
  <si>
    <t xml:space="preserve"> UE-170485</t>
  </si>
  <si>
    <t>TWELVE MONTHS ENDED DECEMBER 31, 2016</t>
  </si>
  <si>
    <t>Approved in UE-170485</t>
  </si>
  <si>
    <t>UE-170485 Cost of Service Study</t>
  </si>
  <si>
    <t>UE-170485</t>
  </si>
  <si>
    <t>Projected end of June 2018 Balance</t>
  </si>
  <si>
    <t>May 1st</t>
  </si>
  <si>
    <t>Residential Bill Impact (918 kWh's)</t>
  </si>
  <si>
    <t>Present</t>
  </si>
  <si>
    <t>Proposed</t>
  </si>
  <si>
    <t>Total Rebate Amount (Grossed Up)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</si>
</sst>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&quot;$&quot;#,##0.00"/>
    <numFmt numFmtId="166" formatCode="&quot;$&quot;#,##0"/>
    <numFmt numFmtId="167" formatCode="_(&quot;$&quot;* #,##0_);_(&quot;$&quot;* \(#,##0\);_(&quot;$&quot;* &quot;-&quot;??_);_(@_)"/>
    <numFmt numFmtId="168" formatCode="_(&quot;$&quot;* #,##0.00000_);_(&quot;$&quot;* \(#,##0.00000\);_(&quot;$&quot;* &quot;-&quot;??_);_(@_)"/>
    <numFmt numFmtId="169" formatCode="_(* #,##0_);_(* \(#,##0\);_(* &quot;-&quot;??_);_(@_)"/>
    <numFmt numFmtId="170" formatCode="mmm\ yy"/>
    <numFmt numFmtId="171" formatCode="0.000000"/>
    <numFmt numFmtId="172" formatCode="0.0%"/>
    <numFmt numFmtId="173" formatCode="0.00000"/>
    <numFmt numFmtId="174" formatCode="0.0000000"/>
    <numFmt numFmtId="175" formatCode="0.000%"/>
  </numFmts>
  <fonts count="29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9"/>
      <color rgb="FF0000F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trike/>
      <sz val="10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</cellStyleXfs>
  <cellXfs count="196">
    <xf numFmtId="0" fontId="0" fillId="0" borderId="0" xfId="0"/>
    <xf numFmtId="167" fontId="0" fillId="0" borderId="0" xfId="2" applyNumberFormat="1" applyFont="1"/>
    <xf numFmtId="0" fontId="8" fillId="0" borderId="0" xfId="0" applyFont="1"/>
    <xf numFmtId="0" fontId="0" fillId="0" borderId="0" xfId="0" applyBorder="1"/>
    <xf numFmtId="0" fontId="8" fillId="0" borderId="11" xfId="0" applyFont="1" applyBorder="1"/>
    <xf numFmtId="0" fontId="0" fillId="0" borderId="8" xfId="0" applyBorder="1"/>
    <xf numFmtId="167" fontId="8" fillId="0" borderId="0" xfId="2" applyNumberFormat="1" applyFont="1"/>
    <xf numFmtId="167" fontId="8" fillId="0" borderId="0" xfId="2" applyNumberFormat="1" applyFont="1" applyFill="1"/>
    <xf numFmtId="167" fontId="8" fillId="0" borderId="0" xfId="2" applyNumberFormat="1" applyFont="1" applyBorder="1"/>
    <xf numFmtId="0" fontId="8" fillId="0" borderId="0" xfId="0" applyFont="1" applyAlignment="1">
      <alignment horizontal="right"/>
    </xf>
    <xf numFmtId="167" fontId="8" fillId="0" borderId="0" xfId="0" applyNumberFormat="1" applyFont="1"/>
    <xf numFmtId="0" fontId="8" fillId="0" borderId="0" xfId="0" applyFont="1" applyFill="1"/>
    <xf numFmtId="167" fontId="8" fillId="0" borderId="11" xfId="2" applyNumberFormat="1" applyFont="1" applyFill="1" applyBorder="1"/>
    <xf numFmtId="167" fontId="8" fillId="0" borderId="11" xfId="2" applyNumberFormat="1" applyFont="1" applyBorder="1"/>
    <xf numFmtId="167" fontId="8" fillId="0" borderId="14" xfId="0" applyNumberFormat="1" applyFont="1" applyFill="1" applyBorder="1"/>
    <xf numFmtId="167" fontId="9" fillId="0" borderId="0" xfId="2" applyNumberFormat="1" applyFont="1" applyFill="1"/>
    <xf numFmtId="167" fontId="9" fillId="0" borderId="0" xfId="2" applyNumberFormat="1" applyFont="1" applyFill="1" applyBorder="1"/>
    <xf numFmtId="0" fontId="5" fillId="0" borderId="0" xfId="0" applyFont="1"/>
    <xf numFmtId="0" fontId="10" fillId="0" borderId="0" xfId="0" applyFont="1"/>
    <xf numFmtId="0" fontId="11" fillId="0" borderId="4" xfId="0" applyFont="1" applyFill="1" applyBorder="1"/>
    <xf numFmtId="0" fontId="11" fillId="0" borderId="5" xfId="0" applyFont="1" applyFill="1" applyBorder="1"/>
    <xf numFmtId="0" fontId="11" fillId="0" borderId="6" xfId="0" applyFont="1" applyFill="1" applyBorder="1"/>
    <xf numFmtId="0" fontId="11" fillId="0" borderId="7" xfId="0" applyFont="1" applyFill="1" applyBorder="1"/>
    <xf numFmtId="0" fontId="11" fillId="0" borderId="8" xfId="0" applyFont="1" applyFill="1" applyBorder="1"/>
    <xf numFmtId="0" fontId="11" fillId="0" borderId="0" xfId="0" applyFont="1" applyFill="1" applyBorder="1"/>
    <xf numFmtId="0" fontId="11" fillId="0" borderId="9" xfId="4" applyFont="1" applyFill="1" applyBorder="1" applyAlignment="1">
      <alignment horizontal="center"/>
    </xf>
    <xf numFmtId="0" fontId="11" fillId="0" borderId="10" xfId="4" applyFont="1" applyFill="1" applyBorder="1" applyAlignment="1">
      <alignment horizontal="center"/>
    </xf>
    <xf numFmtId="0" fontId="11" fillId="0" borderId="10" xfId="0" applyFont="1" applyFill="1" applyBorder="1"/>
    <xf numFmtId="0" fontId="11" fillId="0" borderId="11" xfId="4" applyFont="1" applyFill="1" applyBorder="1" applyAlignment="1">
      <alignment horizontal="center"/>
    </xf>
    <xf numFmtId="0" fontId="11" fillId="0" borderId="12" xfId="4" applyFont="1" applyFill="1" applyBorder="1" applyAlignment="1">
      <alignment horizontal="center"/>
    </xf>
    <xf numFmtId="0" fontId="11" fillId="0" borderId="14" xfId="4" applyFont="1" applyFill="1" applyBorder="1" applyAlignment="1">
      <alignment horizontal="center"/>
    </xf>
    <xf numFmtId="0" fontId="11" fillId="0" borderId="15" xfId="4" applyFont="1" applyFill="1" applyBorder="1" applyAlignment="1">
      <alignment horizontal="center" wrapText="1"/>
    </xf>
    <xf numFmtId="0" fontId="11" fillId="0" borderId="16" xfId="4" applyFont="1" applyFill="1" applyBorder="1" applyAlignment="1">
      <alignment horizontal="center"/>
    </xf>
    <xf numFmtId="0" fontId="11" fillId="0" borderId="17" xfId="4" applyFont="1" applyFill="1" applyBorder="1" applyAlignment="1">
      <alignment horizontal="center"/>
    </xf>
    <xf numFmtId="0" fontId="11" fillId="0" borderId="18" xfId="4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12" fillId="0" borderId="0" xfId="0" applyFont="1" applyFill="1" applyBorder="1"/>
    <xf numFmtId="10" fontId="11" fillId="0" borderId="9" xfId="0" applyNumberFormat="1" applyFont="1" applyFill="1" applyBorder="1"/>
    <xf numFmtId="49" fontId="10" fillId="0" borderId="10" xfId="0" applyNumberFormat="1" applyFont="1" applyBorder="1" applyAlignment="1">
      <alignment horizontal="center"/>
    </xf>
    <xf numFmtId="167" fontId="13" fillId="0" borderId="19" xfId="2" applyNumberFormat="1" applyFont="1" applyFill="1" applyBorder="1"/>
    <xf numFmtId="37" fontId="11" fillId="0" borderId="9" xfId="5" applyNumberFormat="1" applyFont="1" applyFill="1" applyBorder="1"/>
    <xf numFmtId="0" fontId="11" fillId="0" borderId="9" xfId="0" applyFont="1" applyFill="1" applyBorder="1"/>
    <xf numFmtId="37" fontId="11" fillId="0" borderId="9" xfId="6" applyNumberFormat="1" applyFont="1" applyFill="1" applyBorder="1"/>
    <xf numFmtId="0" fontId="11" fillId="0" borderId="0" xfId="0" applyFont="1" applyFill="1"/>
    <xf numFmtId="168" fontId="11" fillId="0" borderId="9" xfId="0" applyNumberFormat="1" applyFont="1" applyFill="1" applyBorder="1"/>
    <xf numFmtId="167" fontId="11" fillId="0" borderId="13" xfId="0" applyNumberFormat="1" applyFont="1" applyFill="1" applyBorder="1"/>
    <xf numFmtId="167" fontId="11" fillId="0" borderId="12" xfId="0" applyNumberFormat="1" applyFont="1" applyFill="1" applyBorder="1"/>
    <xf numFmtId="0" fontId="11" fillId="0" borderId="12" xfId="0" applyFont="1" applyFill="1" applyBorder="1"/>
    <xf numFmtId="0" fontId="11" fillId="0" borderId="0" xfId="0" applyFont="1" applyFill="1" applyBorder="1" applyAlignment="1">
      <alignment horizontal="center"/>
    </xf>
    <xf numFmtId="167" fontId="15" fillId="0" borderId="0" xfId="2" applyNumberFormat="1" applyFont="1"/>
    <xf numFmtId="172" fontId="5" fillId="0" borderId="0" xfId="3" applyNumberFormat="1" applyFont="1"/>
    <xf numFmtId="44" fontId="5" fillId="0" borderId="0" xfId="2" applyFont="1"/>
    <xf numFmtId="49" fontId="10" fillId="0" borderId="0" xfId="0" applyNumberFormat="1" applyFont="1" applyBorder="1" applyAlignment="1">
      <alignment horizontal="center"/>
    </xf>
    <xf numFmtId="37" fontId="5" fillId="0" borderId="0" xfId="0" applyNumberFormat="1" applyFont="1"/>
    <xf numFmtId="44" fontId="5" fillId="0" borderId="0" xfId="0" applyNumberFormat="1" applyFont="1"/>
    <xf numFmtId="0" fontId="5" fillId="3" borderId="0" xfId="0" applyFont="1" applyFill="1"/>
    <xf numFmtId="0" fontId="16" fillId="3" borderId="0" xfId="0" applyFont="1" applyFill="1" applyAlignment="1">
      <alignment horizontal="right"/>
    </xf>
    <xf numFmtId="164" fontId="16" fillId="3" borderId="0" xfId="0" applyNumberFormat="1" applyFont="1" applyFill="1"/>
    <xf numFmtId="165" fontId="5" fillId="0" borderId="0" xfId="0" applyNumberFormat="1" applyFont="1"/>
    <xf numFmtId="5" fontId="5" fillId="0" borderId="0" xfId="1" applyNumberFormat="1" applyFont="1"/>
    <xf numFmtId="166" fontId="5" fillId="0" borderId="0" xfId="1" applyNumberFormat="1" applyFont="1"/>
    <xf numFmtId="166" fontId="5" fillId="0" borderId="0" xfId="0" applyNumberFormat="1" applyFont="1"/>
    <xf numFmtId="5" fontId="5" fillId="0" borderId="0" xfId="0" applyNumberFormat="1" applyFont="1"/>
    <xf numFmtId="0" fontId="10" fillId="2" borderId="1" xfId="0" applyFont="1" applyFill="1" applyBorder="1"/>
    <xf numFmtId="0" fontId="10" fillId="2" borderId="2" xfId="0" applyFont="1" applyFill="1" applyBorder="1"/>
    <xf numFmtId="5" fontId="10" fillId="2" borderId="3" xfId="0" applyNumberFormat="1" applyFont="1" applyFill="1" applyBorder="1"/>
    <xf numFmtId="0" fontId="10" fillId="0" borderId="0" xfId="0" applyFont="1" applyFill="1" applyBorder="1"/>
    <xf numFmtId="5" fontId="10" fillId="0" borderId="0" xfId="0" applyNumberFormat="1" applyFont="1" applyFill="1" applyBorder="1"/>
    <xf numFmtId="10" fontId="10" fillId="0" borderId="0" xfId="3" applyNumberFormat="1" applyFont="1" applyFill="1" applyBorder="1"/>
    <xf numFmtId="0" fontId="13" fillId="0" borderId="0" xfId="0" applyFont="1"/>
    <xf numFmtId="17" fontId="5" fillId="0" borderId="0" xfId="0" applyNumberFormat="1" applyFont="1" applyAlignment="1">
      <alignment horizontal="center"/>
    </xf>
    <xf numFmtId="169" fontId="5" fillId="0" borderId="0" xfId="0" applyNumberFormat="1" applyFont="1" applyFill="1"/>
    <xf numFmtId="169" fontId="5" fillId="0" borderId="5" xfId="0" applyNumberFormat="1" applyFont="1" applyBorder="1"/>
    <xf numFmtId="169" fontId="5" fillId="0" borderId="0" xfId="0" applyNumberFormat="1" applyFont="1"/>
    <xf numFmtId="173" fontId="5" fillId="0" borderId="0" xfId="0" applyNumberFormat="1" applyFont="1"/>
    <xf numFmtId="10" fontId="5" fillId="0" borderId="0" xfId="0" applyNumberFormat="1" applyFont="1"/>
    <xf numFmtId="167" fontId="5" fillId="0" borderId="0" xfId="2" applyNumberFormat="1" applyFont="1"/>
    <xf numFmtId="167" fontId="5" fillId="0" borderId="0" xfId="0" applyNumberFormat="1" applyFont="1"/>
    <xf numFmtId="167" fontId="5" fillId="0" borderId="11" xfId="2" applyNumberFormat="1" applyFont="1" applyBorder="1"/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11" fillId="0" borderId="13" xfId="0" applyFont="1" applyFill="1" applyBorder="1" applyAlignment="1">
      <alignment horizontal="center"/>
    </xf>
    <xf numFmtId="0" fontId="11" fillId="0" borderId="14" xfId="0" applyFont="1" applyFill="1" applyBorder="1"/>
    <xf numFmtId="167" fontId="11" fillId="0" borderId="9" xfId="2" applyNumberFormat="1" applyFont="1" applyFill="1" applyBorder="1"/>
    <xf numFmtId="44" fontId="11" fillId="0" borderId="9" xfId="2" applyFont="1" applyFill="1" applyBorder="1"/>
    <xf numFmtId="0" fontId="17" fillId="0" borderId="0" xfId="0" applyFont="1" applyAlignment="1">
      <alignment horizontal="right"/>
    </xf>
    <xf numFmtId="167" fontId="17" fillId="0" borderId="0" xfId="2" applyNumberFormat="1" applyFont="1" applyFill="1"/>
    <xf numFmtId="167" fontId="17" fillId="0" borderId="0" xfId="2" applyNumberFormat="1" applyFont="1" applyAlignment="1">
      <alignment horizontal="right"/>
    </xf>
    <xf numFmtId="167" fontId="17" fillId="0" borderId="0" xfId="0" applyNumberFormat="1" applyFont="1" applyFill="1" applyBorder="1"/>
    <xf numFmtId="167" fontId="17" fillId="0" borderId="11" xfId="0" applyNumberFormat="1" applyFont="1" applyFill="1" applyBorder="1"/>
    <xf numFmtId="167" fontId="17" fillId="0" borderId="0" xfId="0" applyNumberFormat="1" applyFont="1" applyFill="1"/>
    <xf numFmtId="0" fontId="17" fillId="0" borderId="0" xfId="0" applyFont="1"/>
    <xf numFmtId="0" fontId="17" fillId="0" borderId="0" xfId="0" applyFont="1" applyFill="1"/>
    <xf numFmtId="0" fontId="18" fillId="0" borderId="23" xfId="0" applyFont="1" applyFill="1" applyBorder="1"/>
    <xf numFmtId="0" fontId="19" fillId="0" borderId="24" xfId="0" applyFont="1" applyFill="1" applyBorder="1"/>
    <xf numFmtId="0" fontId="4" fillId="0" borderId="0" xfId="0" applyFont="1"/>
    <xf numFmtId="170" fontId="14" fillId="0" borderId="0" xfId="0" applyNumberFormat="1" applyFont="1">
      <alignment readingOrder="1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left" indent="1" readingOrder="1"/>
    </xf>
    <xf numFmtId="0" fontId="11" fillId="0" borderId="0" xfId="0" applyFont="1" applyFill="1" applyAlignment="1">
      <alignment horizontal="left" indent="1" readingOrder="1"/>
    </xf>
    <xf numFmtId="0" fontId="11" fillId="0" borderId="0" xfId="0" applyFont="1" applyBorder="1" applyAlignment="1">
      <alignment horizontal="left" indent="1" readingOrder="1"/>
    </xf>
    <xf numFmtId="0" fontId="11" fillId="0" borderId="0" xfId="0" applyFont="1" applyFill="1" applyBorder="1" applyAlignment="1">
      <alignment horizontal="left" indent="1" readingOrder="1"/>
    </xf>
    <xf numFmtId="0" fontId="11" fillId="0" borderId="0" xfId="0" applyFont="1"/>
    <xf numFmtId="169" fontId="4" fillId="0" borderId="0" xfId="0" applyNumberFormat="1" applyFont="1"/>
    <xf numFmtId="169" fontId="11" fillId="0" borderId="0" xfId="0" applyNumberFormat="1" applyFont="1"/>
    <xf numFmtId="9" fontId="4" fillId="0" borderId="0" xfId="3" applyFont="1"/>
    <xf numFmtId="171" fontId="14" fillId="0" borderId="0" xfId="5" applyNumberFormat="1" applyFont="1"/>
    <xf numFmtId="14" fontId="14" fillId="0" borderId="0" xfId="5" applyNumberFormat="1" applyFont="1"/>
    <xf numFmtId="0" fontId="14" fillId="0" borderId="0" xfId="5" applyFont="1"/>
    <xf numFmtId="171" fontId="14" fillId="0" borderId="0" xfId="5" applyNumberFormat="1" applyFont="1" applyAlignment="1">
      <alignment horizontal="right"/>
    </xf>
    <xf numFmtId="171" fontId="11" fillId="0" borderId="0" xfId="5" applyNumberFormat="1" applyFont="1"/>
    <xf numFmtId="0" fontId="11" fillId="0" borderId="0" xfId="5" applyFont="1"/>
    <xf numFmtId="171" fontId="11" fillId="0" borderId="16" xfId="5" applyNumberFormat="1" applyFont="1" applyBorder="1"/>
    <xf numFmtId="0" fontId="21" fillId="0" borderId="0" xfId="5" applyFont="1"/>
    <xf numFmtId="4" fontId="22" fillId="0" borderId="0" xfId="5" applyNumberFormat="1" applyFont="1" applyAlignment="1">
      <alignment horizontal="left"/>
    </xf>
    <xf numFmtId="44" fontId="5" fillId="0" borderId="0" xfId="0" applyNumberFormat="1" applyFont="1" applyFill="1"/>
    <xf numFmtId="44" fontId="11" fillId="0" borderId="0" xfId="2" applyFont="1"/>
    <xf numFmtId="44" fontId="0" fillId="0" borderId="0" xfId="2" applyFont="1"/>
    <xf numFmtId="168" fontId="5" fillId="0" borderId="0" xfId="2" applyNumberFormat="1" applyFont="1"/>
    <xf numFmtId="168" fontId="11" fillId="0" borderId="0" xfId="2" applyNumberFormat="1" applyFont="1"/>
    <xf numFmtId="168" fontId="0" fillId="0" borderId="0" xfId="2" applyNumberFormat="1" applyFont="1"/>
    <xf numFmtId="0" fontId="16" fillId="0" borderId="0" xfId="0" applyFont="1"/>
    <xf numFmtId="0" fontId="16" fillId="0" borderId="0" xfId="5" applyFont="1"/>
    <xf numFmtId="0" fontId="23" fillId="0" borderId="0" xfId="0" applyFont="1"/>
    <xf numFmtId="0" fontId="23" fillId="0" borderId="0" xfId="5" applyFont="1"/>
    <xf numFmtId="0" fontId="23" fillId="0" borderId="0" xfId="0" applyFont="1" applyFill="1"/>
    <xf numFmtId="167" fontId="0" fillId="0" borderId="8" xfId="0" applyNumberFormat="1" applyBorder="1"/>
    <xf numFmtId="172" fontId="3" fillId="0" borderId="0" xfId="3" applyNumberFormat="1" applyFont="1"/>
    <xf numFmtId="0" fontId="18" fillId="0" borderId="20" xfId="0" applyFont="1" applyFill="1" applyBorder="1" applyAlignment="1">
      <alignment vertical="center"/>
    </xf>
    <xf numFmtId="171" fontId="15" fillId="5" borderId="0" xfId="0" applyNumberFormat="1" applyFont="1" applyFill="1"/>
    <xf numFmtId="0" fontId="2" fillId="0" borderId="0" xfId="0" applyFont="1" applyFill="1" applyBorder="1"/>
    <xf numFmtId="0" fontId="5" fillId="4" borderId="0" xfId="0" applyFont="1" applyFill="1" applyBorder="1"/>
    <xf numFmtId="165" fontId="5" fillId="4" borderId="0" xfId="0" applyNumberFormat="1" applyFont="1" applyFill="1" applyBorder="1"/>
    <xf numFmtId="5" fontId="5" fillId="4" borderId="0" xfId="1" applyNumberFormat="1" applyFont="1" applyFill="1" applyBorder="1"/>
    <xf numFmtId="166" fontId="5" fillId="4" borderId="0" xfId="1" applyNumberFormat="1" applyFont="1" applyFill="1" applyBorder="1"/>
    <xf numFmtId="166" fontId="5" fillId="4" borderId="0" xfId="0" applyNumberFormat="1" applyFont="1" applyFill="1" applyBorder="1"/>
    <xf numFmtId="0" fontId="5" fillId="4" borderId="11" xfId="0" applyFont="1" applyFill="1" applyBorder="1"/>
    <xf numFmtId="165" fontId="5" fillId="4" borderId="11" xfId="0" applyNumberFormat="1" applyFont="1" applyFill="1" applyBorder="1"/>
    <xf numFmtId="5" fontId="5" fillId="4" borderId="11" xfId="1" applyNumberFormat="1" applyFont="1" applyFill="1" applyBorder="1"/>
    <xf numFmtId="166" fontId="5" fillId="4" borderId="11" xfId="1" applyNumberFormat="1" applyFont="1" applyFill="1" applyBorder="1"/>
    <xf numFmtId="0" fontId="5" fillId="4" borderId="4" xfId="0" applyFont="1" applyFill="1" applyBorder="1"/>
    <xf numFmtId="0" fontId="5" fillId="4" borderId="5" xfId="0" applyFont="1" applyFill="1" applyBorder="1"/>
    <xf numFmtId="165" fontId="5" fillId="4" borderId="5" xfId="0" applyNumberFormat="1" applyFont="1" applyFill="1" applyBorder="1"/>
    <xf numFmtId="5" fontId="5" fillId="4" borderId="5" xfId="1" applyNumberFormat="1" applyFont="1" applyFill="1" applyBorder="1"/>
    <xf numFmtId="166" fontId="5" fillId="4" borderId="5" xfId="1" applyNumberFormat="1" applyFont="1" applyFill="1" applyBorder="1"/>
    <xf numFmtId="166" fontId="5" fillId="4" borderId="7" xfId="1" applyNumberFormat="1" applyFont="1" applyFill="1" applyBorder="1"/>
    <xf numFmtId="0" fontId="5" fillId="4" borderId="8" xfId="0" applyFont="1" applyFill="1" applyBorder="1"/>
    <xf numFmtId="166" fontId="5" fillId="4" borderId="10" xfId="1" applyNumberFormat="1" applyFont="1" applyFill="1" applyBorder="1"/>
    <xf numFmtId="0" fontId="5" fillId="4" borderId="13" xfId="0" applyFont="1" applyFill="1" applyBorder="1"/>
    <xf numFmtId="166" fontId="5" fillId="4" borderId="14" xfId="1" applyNumberFormat="1" applyFont="1" applyFill="1" applyBorder="1"/>
    <xf numFmtId="169" fontId="5" fillId="4" borderId="11" xfId="1" applyNumberFormat="1" applyFont="1" applyFill="1" applyBorder="1"/>
    <xf numFmtId="169" fontId="4" fillId="0" borderId="0" xfId="1" applyNumberFormat="1" applyFont="1"/>
    <xf numFmtId="169" fontId="15" fillId="0" borderId="0" xfId="1" applyNumberFormat="1" applyFont="1" applyFill="1">
      <alignment readingOrder="1"/>
    </xf>
    <xf numFmtId="169" fontId="15" fillId="0" borderId="0" xfId="1" applyNumberFormat="1" applyFont="1" applyFill="1"/>
    <xf numFmtId="169" fontId="15" fillId="0" borderId="0" xfId="0" applyNumberFormat="1" applyFont="1" applyFill="1"/>
    <xf numFmtId="2" fontId="4" fillId="0" borderId="0" xfId="0" applyNumberFormat="1" applyFont="1"/>
    <xf numFmtId="3" fontId="15" fillId="0" borderId="0" xfId="4" applyNumberFormat="1" applyFont="1" applyFill="1"/>
    <xf numFmtId="168" fontId="15" fillId="0" borderId="0" xfId="2" applyNumberFormat="1" applyFont="1" applyFill="1"/>
    <xf numFmtId="0" fontId="24" fillId="0" borderId="0" xfId="0" applyFont="1" applyAlignment="1">
      <alignment horizontal="center"/>
    </xf>
    <xf numFmtId="0" fontId="24" fillId="0" borderId="0" xfId="0" applyFont="1"/>
    <xf numFmtId="0" fontId="18" fillId="0" borderId="0" xfId="0" applyFont="1" applyFill="1" applyBorder="1" applyAlignment="1">
      <alignment vertical="center" wrapText="1"/>
    </xf>
    <xf numFmtId="168" fontId="14" fillId="0" borderId="17" xfId="2" applyNumberFormat="1" applyFont="1" applyFill="1" applyBorder="1"/>
    <xf numFmtId="168" fontId="15" fillId="0" borderId="9" xfId="0" applyNumberFormat="1" applyFont="1" applyFill="1" applyBorder="1"/>
    <xf numFmtId="0" fontId="5" fillId="0" borderId="0" xfId="0" applyFont="1" applyAlignment="1">
      <alignment wrapText="1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wrapText="1"/>
    </xf>
    <xf numFmtId="0" fontId="25" fillId="0" borderId="0" xfId="0" applyFont="1"/>
    <xf numFmtId="44" fontId="25" fillId="0" borderId="0" xfId="2" applyFont="1"/>
    <xf numFmtId="168" fontId="25" fillId="0" borderId="0" xfId="2" applyNumberFormat="1" applyFont="1"/>
    <xf numFmtId="0" fontId="25" fillId="0" borderId="0" xfId="0" applyFont="1" applyAlignment="1">
      <alignment horizontal="center" vertical="center"/>
    </xf>
    <xf numFmtId="16" fontId="25" fillId="0" borderId="0" xfId="0" quotePrefix="1" applyNumberFormat="1" applyFont="1" applyAlignment="1">
      <alignment horizontal="center"/>
    </xf>
    <xf numFmtId="172" fontId="25" fillId="0" borderId="0" xfId="0" applyNumberFormat="1" applyFont="1"/>
    <xf numFmtId="0" fontId="25" fillId="0" borderId="0" xfId="0" quotePrefix="1" applyFont="1" applyAlignment="1">
      <alignment horizontal="center"/>
    </xf>
    <xf numFmtId="0" fontId="26" fillId="0" borderId="0" xfId="0" applyFont="1"/>
    <xf numFmtId="172" fontId="26" fillId="0" borderId="0" xfId="0" applyNumberFormat="1" applyFont="1"/>
    <xf numFmtId="10" fontId="11" fillId="0" borderId="0" xfId="5" applyNumberFormat="1" applyFont="1" applyFill="1"/>
    <xf numFmtId="171" fontId="15" fillId="0" borderId="0" xfId="0" applyNumberFormat="1" applyFont="1" applyFill="1"/>
    <xf numFmtId="0" fontId="5" fillId="0" borderId="0" xfId="0" applyFont="1" applyAlignment="1">
      <alignment horizontal="center"/>
    </xf>
    <xf numFmtId="5" fontId="10" fillId="0" borderId="3" xfId="0" applyNumberFormat="1" applyFont="1" applyFill="1" applyBorder="1"/>
    <xf numFmtId="174" fontId="18" fillId="0" borderId="25" xfId="0" applyNumberFormat="1" applyFont="1" applyFill="1" applyBorder="1"/>
    <xf numFmtId="0" fontId="18" fillId="0" borderId="21" xfId="0" applyFont="1" applyFill="1" applyBorder="1" applyAlignment="1">
      <alignment vertical="center" wrapText="1"/>
    </xf>
    <xf numFmtId="0" fontId="5" fillId="5" borderId="0" xfId="0" applyFont="1" applyFill="1"/>
    <xf numFmtId="0" fontId="1" fillId="3" borderId="0" xfId="0" applyFont="1" applyFill="1"/>
    <xf numFmtId="10" fontId="10" fillId="0" borderId="0" xfId="0" applyNumberFormat="1" applyFont="1" applyFill="1" applyBorder="1"/>
    <xf numFmtId="10" fontId="11" fillId="0" borderId="9" xfId="3" applyNumberFormat="1" applyFont="1" applyFill="1" applyBorder="1"/>
    <xf numFmtId="10" fontId="5" fillId="0" borderId="0" xfId="3" applyNumberFormat="1" applyFont="1"/>
    <xf numFmtId="175" fontId="20" fillId="0" borderId="22" xfId="3" applyNumberFormat="1" applyFont="1" applyFill="1" applyBorder="1"/>
    <xf numFmtId="171" fontId="5" fillId="0" borderId="0" xfId="0" applyNumberFormat="1" applyFont="1" applyFill="1"/>
    <xf numFmtId="171" fontId="22" fillId="0" borderId="26" xfId="5" applyNumberFormat="1" applyFont="1" applyFill="1" applyBorder="1"/>
    <xf numFmtId="171" fontId="14" fillId="0" borderId="0" xfId="5" applyNumberFormat="1" applyFont="1" applyFill="1"/>
    <xf numFmtId="10" fontId="5" fillId="0" borderId="11" xfId="0" applyNumberFormat="1" applyFont="1" applyFill="1" applyBorder="1"/>
    <xf numFmtId="166" fontId="1" fillId="4" borderId="0" xfId="0" applyNumberFormat="1" applyFont="1" applyFill="1" applyBorder="1" applyAlignment="1">
      <alignment horizontal="center"/>
    </xf>
    <xf numFmtId="166" fontId="5" fillId="4" borderId="0" xfId="0" applyNumberFormat="1" applyFont="1" applyFill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/>
    </xf>
  </cellXfs>
  <cellStyles count="7">
    <cellStyle name="Comma" xfId="1" builtinId="3"/>
    <cellStyle name="Currency" xfId="2" builtinId="4"/>
    <cellStyle name="Normal" xfId="0" builtinId="0"/>
    <cellStyle name="Normal 16" xfId="5"/>
    <cellStyle name="Normal 2" xfId="4"/>
    <cellStyle name="Normal 24" xfId="6"/>
    <cellStyle name="Percent" xfId="3" builtinId="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WP%20CBR/WWP%202016-12%20CBR/Uncollectible%20Expenses%20Transaction%20Amount%20-%20JS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WP%20CBR/WWP%202016-12%20CBR/ConvFactor-12.31.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16"/>
      <sheetName val="Macro1"/>
    </sheetNames>
    <sheetDataSet>
      <sheetData sheetId="0" refreshError="1"/>
      <sheetData sheetId="1" refreshError="1"/>
      <sheetData sheetId="2">
        <row r="85">
          <cell r="A85" t="str">
            <v>Recover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 WA Elec"/>
      <sheetName val="CF WA Gas"/>
      <sheetName val="CF ID Elec"/>
      <sheetName val="CF ID Gas"/>
      <sheetName val="C-UE-1"/>
      <sheetName val="C-UE-2"/>
      <sheetName val="2016 Transaction Details"/>
      <sheetName val="SharedInpu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AVISTA UTILITIES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3"/>
  <sheetViews>
    <sheetView tabSelected="1" topLeftCell="J1" zoomScaleNormal="100" workbookViewId="0">
      <selection activeCell="T16" sqref="T16"/>
    </sheetView>
  </sheetViews>
  <sheetFormatPr defaultRowHeight="15" x14ac:dyDescent="0.25"/>
  <cols>
    <col min="1" max="1" width="9.140625" style="17"/>
    <col min="2" max="2" width="36.42578125" style="17" customWidth="1"/>
    <col min="3" max="3" width="17.85546875" style="17" customWidth="1"/>
    <col min="4" max="9" width="17" style="17" customWidth="1"/>
    <col min="10" max="10" width="4.85546875" style="17" customWidth="1"/>
    <col min="11" max="12" width="9.140625" style="17"/>
    <col min="13" max="13" width="10.5703125" style="17" customWidth="1"/>
    <col min="14" max="14" width="30" style="17" customWidth="1"/>
    <col min="15" max="15" width="15.5703125" style="17" customWidth="1"/>
    <col min="16" max="16" width="13.140625" style="17" customWidth="1"/>
    <col min="17" max="16384" width="9.140625" style="17"/>
  </cols>
  <sheetData>
    <row r="1" spans="1:10" x14ac:dyDescent="0.25">
      <c r="C1" s="18" t="s">
        <v>3</v>
      </c>
      <c r="D1" s="18"/>
    </row>
    <row r="3" spans="1:10" x14ac:dyDescent="0.25">
      <c r="A3" s="19"/>
      <c r="B3" s="20"/>
      <c r="C3" s="21"/>
      <c r="D3" s="21"/>
      <c r="E3" s="21"/>
      <c r="F3" s="21"/>
      <c r="G3" s="21"/>
      <c r="H3" s="21"/>
      <c r="I3" s="21"/>
      <c r="J3" s="22"/>
    </row>
    <row r="4" spans="1:10" x14ac:dyDescent="0.25">
      <c r="A4" s="23"/>
      <c r="B4" s="24"/>
      <c r="C4" s="25" t="s">
        <v>4</v>
      </c>
      <c r="D4" s="25" t="s">
        <v>5</v>
      </c>
      <c r="E4" s="25" t="s">
        <v>6</v>
      </c>
      <c r="F4" s="25" t="s">
        <v>7</v>
      </c>
      <c r="G4" s="25" t="s">
        <v>8</v>
      </c>
      <c r="H4" s="25" t="s">
        <v>9</v>
      </c>
      <c r="I4" s="25" t="s">
        <v>10</v>
      </c>
      <c r="J4" s="27"/>
    </row>
    <row r="5" spans="1:10" x14ac:dyDescent="0.25">
      <c r="A5" s="23"/>
      <c r="B5" s="28" t="s">
        <v>11</v>
      </c>
      <c r="C5" s="29" t="s">
        <v>12</v>
      </c>
      <c r="D5" s="29" t="s">
        <v>124</v>
      </c>
      <c r="E5" s="29" t="s">
        <v>13</v>
      </c>
      <c r="F5" s="29" t="s">
        <v>14</v>
      </c>
      <c r="G5" s="29" t="s">
        <v>15</v>
      </c>
      <c r="H5" s="29" t="s">
        <v>16</v>
      </c>
      <c r="I5" s="29" t="s">
        <v>17</v>
      </c>
      <c r="J5" s="30"/>
    </row>
    <row r="6" spans="1:10" x14ac:dyDescent="0.25">
      <c r="A6" s="31" t="s">
        <v>18</v>
      </c>
      <c r="B6" s="32" t="s">
        <v>19</v>
      </c>
      <c r="C6" s="33" t="s">
        <v>20</v>
      </c>
      <c r="D6" s="33" t="s">
        <v>21</v>
      </c>
      <c r="E6" s="33" t="s">
        <v>22</v>
      </c>
      <c r="F6" s="33" t="s">
        <v>23</v>
      </c>
      <c r="G6" s="33" t="s">
        <v>24</v>
      </c>
      <c r="H6" s="33" t="s">
        <v>25</v>
      </c>
      <c r="I6" s="33" t="s">
        <v>26</v>
      </c>
      <c r="J6" s="34" t="s">
        <v>27</v>
      </c>
    </row>
    <row r="7" spans="1:10" x14ac:dyDescent="0.25">
      <c r="A7" s="35">
        <v>1</v>
      </c>
      <c r="B7" s="36" t="s">
        <v>28</v>
      </c>
      <c r="C7" s="25"/>
      <c r="D7" s="25"/>
      <c r="E7" s="25"/>
      <c r="F7" s="25"/>
      <c r="G7" s="25"/>
      <c r="H7" s="25"/>
      <c r="I7" s="25"/>
      <c r="J7" s="26"/>
    </row>
    <row r="8" spans="1:10" ht="15.75" thickBot="1" x14ac:dyDescent="0.3">
      <c r="A8" s="35">
        <f>A7+1</f>
        <v>2</v>
      </c>
      <c r="B8" s="24" t="s">
        <v>29</v>
      </c>
      <c r="C8" s="37">
        <f>SUM(D8:I8)</f>
        <v>1</v>
      </c>
      <c r="D8" s="184">
        <v>0.41959785917416947</v>
      </c>
      <c r="E8" s="184">
        <v>0.11072160155075182</v>
      </c>
      <c r="F8" s="184">
        <v>0.24995375820649657</v>
      </c>
      <c r="G8" s="184">
        <v>0.1919032787790893</v>
      </c>
      <c r="H8" s="184">
        <v>2.3715939980936952E-2</v>
      </c>
      <c r="I8" s="184">
        <v>4.1075623085558592E-3</v>
      </c>
      <c r="J8" s="38" t="s">
        <v>30</v>
      </c>
    </row>
    <row r="9" spans="1:10" ht="15.75" thickBot="1" x14ac:dyDescent="0.3">
      <c r="A9" s="35">
        <f t="shared" ref="A9:A19" si="0">A8+1</f>
        <v>3</v>
      </c>
      <c r="B9" s="24" t="s">
        <v>165</v>
      </c>
      <c r="C9" s="39">
        <v>-1436018.0936157957</v>
      </c>
      <c r="D9" s="83">
        <f>$C$9*D8</f>
        <v>-602550.11781655997</v>
      </c>
      <c r="E9" s="83">
        <f t="shared" ref="E9:I9" si="1">$C$9*E8</f>
        <v>-158998.22318099835</v>
      </c>
      <c r="F9" s="83">
        <f t="shared" si="1"/>
        <v>-358938.11935179675</v>
      </c>
      <c r="G9" s="83">
        <f t="shared" si="1"/>
        <v>-275576.58055096841</v>
      </c>
      <c r="H9" s="83">
        <f t="shared" si="1"/>
        <v>-34056.518919731709</v>
      </c>
      <c r="I9" s="83">
        <f t="shared" si="1"/>
        <v>-5898.5337957404818</v>
      </c>
      <c r="J9" s="27"/>
    </row>
    <row r="10" spans="1:10" x14ac:dyDescent="0.25">
      <c r="A10" s="35">
        <f t="shared" si="0"/>
        <v>4</v>
      </c>
      <c r="B10" s="24" t="s">
        <v>31</v>
      </c>
      <c r="C10" s="40">
        <f>SUM(D10:I10)</f>
        <v>5759155532.2808294</v>
      </c>
      <c r="D10" s="40">
        <f>'kWh Forecast'!R18</f>
        <v>2409536207.6252584</v>
      </c>
      <c r="E10" s="40">
        <f>'kWh Forecast'!R19</f>
        <v>633219816.48942804</v>
      </c>
      <c r="F10" s="40">
        <f>'kWh Forecast'!R20</f>
        <v>1403726212.3699665</v>
      </c>
      <c r="G10" s="40">
        <f>'kWh Forecast'!R21</f>
        <v>1157453102.4846506</v>
      </c>
      <c r="H10" s="40">
        <f>'kWh Forecast'!R22</f>
        <v>142112812.10088867</v>
      </c>
      <c r="I10" s="40">
        <f>'kWh Forecast'!R23</f>
        <v>13107381.210637432</v>
      </c>
      <c r="J10" s="38" t="s">
        <v>32</v>
      </c>
    </row>
    <row r="11" spans="1:10" x14ac:dyDescent="0.25">
      <c r="A11" s="35">
        <f t="shared" si="0"/>
        <v>5</v>
      </c>
      <c r="B11" s="24" t="s">
        <v>33</v>
      </c>
      <c r="C11" s="41"/>
      <c r="D11" s="161">
        <f>D9/D10</f>
        <v>-2.5006892028006048E-4</v>
      </c>
      <c r="E11" s="161">
        <f t="shared" ref="E11:I11" si="2">E9/E10</f>
        <v>-2.5109483159021275E-4</v>
      </c>
      <c r="F11" s="161">
        <f t="shared" si="2"/>
        <v>-2.5570379479185427E-4</v>
      </c>
      <c r="G11" s="161">
        <f t="shared" si="2"/>
        <v>-2.3808876572139383E-4</v>
      </c>
      <c r="H11" s="161">
        <f t="shared" si="2"/>
        <v>-2.3964425456273652E-4</v>
      </c>
      <c r="I11" s="161">
        <f t="shared" si="2"/>
        <v>-4.5001619323877337E-4</v>
      </c>
      <c r="J11" s="27"/>
    </row>
    <row r="12" spans="1:10" x14ac:dyDescent="0.25">
      <c r="A12" s="35">
        <f t="shared" si="0"/>
        <v>6</v>
      </c>
      <c r="B12" s="24" t="s">
        <v>34</v>
      </c>
      <c r="C12" s="42">
        <f>SUM(D12:I12)</f>
        <v>3065148.7902844497</v>
      </c>
      <c r="D12" s="42">
        <f>'kWh Forecast'!R44</f>
        <v>2616675</v>
      </c>
      <c r="E12" s="42">
        <f>'kWh Forecast'!R45</f>
        <v>395603.55001576093</v>
      </c>
      <c r="F12" s="42">
        <f>'kWh Forecast'!R46</f>
        <v>22869.007203321187</v>
      </c>
      <c r="G12" s="42">
        <f>'kWh Forecast'!R47</f>
        <v>275.85017240176461</v>
      </c>
      <c r="H12" s="42">
        <f>'kWh Forecast'!R48</f>
        <v>29725.382892965667</v>
      </c>
      <c r="I12" s="42"/>
      <c r="J12" s="38"/>
    </row>
    <row r="13" spans="1:10" x14ac:dyDescent="0.25">
      <c r="A13" s="35">
        <f t="shared" si="0"/>
        <v>7</v>
      </c>
      <c r="B13" s="24" t="s">
        <v>35</v>
      </c>
      <c r="C13" s="41"/>
      <c r="D13" s="84">
        <f>(D10/D12)*D11</f>
        <v>-0.2302731970216248</v>
      </c>
      <c r="E13" s="84">
        <f>(E10/E12)*E11</f>
        <v>-0.40191303433617781</v>
      </c>
      <c r="F13" s="84">
        <f>(F10/F12)*F11</f>
        <v>-15.695395788745452</v>
      </c>
      <c r="G13" s="84">
        <f>(G10/G12)*G11</f>
        <v>-999.00818676887502</v>
      </c>
      <c r="H13" s="84">
        <f>(H10/H12)*H11</f>
        <v>-1.1457049701381972</v>
      </c>
      <c r="I13" s="84"/>
      <c r="J13" s="27"/>
    </row>
    <row r="14" spans="1:10" x14ac:dyDescent="0.25">
      <c r="A14" s="35">
        <f t="shared" si="0"/>
        <v>8</v>
      </c>
      <c r="B14" s="24" t="s">
        <v>36</v>
      </c>
      <c r="C14" s="41"/>
      <c r="D14" s="84">
        <f>(D10/(D12/12))*D11</f>
        <v>-2.7632783642594974</v>
      </c>
      <c r="E14" s="84">
        <f>(E10/(E12/12))*E11</f>
        <v>-4.8229564120341335</v>
      </c>
      <c r="F14" s="84">
        <f>(F10/(F12/12))*F11</f>
        <v>-188.34474946494541</v>
      </c>
      <c r="G14" s="84">
        <f>(G10/(G12/12))*G11</f>
        <v>-11988.0982412265</v>
      </c>
      <c r="H14" s="84">
        <f>(H10/(H12/12))*H11</f>
        <v>-13.748459641658368</v>
      </c>
      <c r="I14" s="84"/>
      <c r="J14" s="27"/>
    </row>
    <row r="15" spans="1:10" x14ac:dyDescent="0.25">
      <c r="A15" s="35">
        <f t="shared" si="0"/>
        <v>9</v>
      </c>
      <c r="B15" s="43"/>
      <c r="C15" s="23"/>
      <c r="D15" s="41"/>
      <c r="E15" s="41"/>
      <c r="F15" s="41"/>
      <c r="G15" s="41"/>
      <c r="H15" s="41"/>
      <c r="I15" s="41"/>
      <c r="J15" s="41"/>
    </row>
    <row r="16" spans="1:10" x14ac:dyDescent="0.25">
      <c r="A16" s="35">
        <f t="shared" si="0"/>
        <v>10</v>
      </c>
      <c r="B16" s="43" t="s">
        <v>37</v>
      </c>
      <c r="C16" s="23"/>
      <c r="D16" s="44">
        <f>D11</f>
        <v>-2.5006892028006048E-4</v>
      </c>
      <c r="E16" s="44">
        <f t="shared" ref="E16:I16" si="3">E11</f>
        <v>-2.5109483159021275E-4</v>
      </c>
      <c r="F16" s="44">
        <f t="shared" si="3"/>
        <v>-2.5570379479185427E-4</v>
      </c>
      <c r="G16" s="44">
        <f t="shared" si="3"/>
        <v>-2.3808876572139383E-4</v>
      </c>
      <c r="H16" s="44">
        <f t="shared" si="3"/>
        <v>-2.3964425456273652E-4</v>
      </c>
      <c r="I16" s="44">
        <f t="shared" si="3"/>
        <v>-4.5001619323877337E-4</v>
      </c>
      <c r="J16" s="41"/>
    </row>
    <row r="17" spans="1:10" x14ac:dyDescent="0.25">
      <c r="A17" s="35">
        <f t="shared" si="0"/>
        <v>11</v>
      </c>
      <c r="B17" s="43" t="s">
        <v>38</v>
      </c>
      <c r="C17" s="23"/>
      <c r="D17" s="162">
        <v>-3.4000000000000002E-4</v>
      </c>
      <c r="E17" s="162">
        <v>-3.6000000000000002E-4</v>
      </c>
      <c r="F17" s="162">
        <v>-3.6000000000000002E-4</v>
      </c>
      <c r="G17" s="162">
        <v>-3.5E-4</v>
      </c>
      <c r="H17" s="162">
        <v>-3.73973550003965E-4</v>
      </c>
      <c r="I17" s="162">
        <v>-4.8000000000000001E-4</v>
      </c>
      <c r="J17" s="41"/>
    </row>
    <row r="18" spans="1:10" x14ac:dyDescent="0.25">
      <c r="A18" s="35">
        <f t="shared" si="0"/>
        <v>12</v>
      </c>
      <c r="B18" s="43" t="s">
        <v>39</v>
      </c>
      <c r="C18" s="23"/>
      <c r="D18" s="44">
        <f t="shared" ref="D18:I18" si="4">D16-D17</f>
        <v>8.9931079719939543E-5</v>
      </c>
      <c r="E18" s="44">
        <f t="shared" si="4"/>
        <v>1.0890516840978727E-4</v>
      </c>
      <c r="F18" s="44">
        <f t="shared" si="4"/>
        <v>1.0429620520814576E-4</v>
      </c>
      <c r="G18" s="44">
        <f t="shared" si="4"/>
        <v>1.1191123427860616E-4</v>
      </c>
      <c r="H18" s="44">
        <f t="shared" si="4"/>
        <v>1.3432929544122848E-4</v>
      </c>
      <c r="I18" s="44">
        <f t="shared" si="4"/>
        <v>2.9983806761226645E-5</v>
      </c>
      <c r="J18" s="41"/>
    </row>
    <row r="19" spans="1:10" x14ac:dyDescent="0.25">
      <c r="A19" s="81">
        <f t="shared" si="0"/>
        <v>13</v>
      </c>
      <c r="B19" s="82" t="s">
        <v>40</v>
      </c>
      <c r="C19" s="45">
        <f>SUM(D19:I19)</f>
        <v>581071.34905932366</v>
      </c>
      <c r="D19" s="46">
        <f t="shared" ref="D19:I19" si="5">D18*D10</f>
        <v>216692.19277602792</v>
      </c>
      <c r="E19" s="46">
        <f t="shared" si="5"/>
        <v>68960.910755195757</v>
      </c>
      <c r="F19" s="46">
        <f t="shared" si="5"/>
        <v>146403.31710139121</v>
      </c>
      <c r="G19" s="46">
        <f t="shared" si="5"/>
        <v>129532.00531865928</v>
      </c>
      <c r="H19" s="46">
        <f t="shared" si="5"/>
        <v>19089.913922684063</v>
      </c>
      <c r="I19" s="46">
        <f t="shared" si="5"/>
        <v>393.00918536548573</v>
      </c>
      <c r="J19" s="47"/>
    </row>
    <row r="20" spans="1:10" x14ac:dyDescent="0.25">
      <c r="A20" s="35"/>
      <c r="B20" s="43"/>
      <c r="C20" s="43"/>
      <c r="D20" s="43"/>
      <c r="E20" s="43"/>
      <c r="F20" s="43"/>
      <c r="G20" s="43"/>
      <c r="H20" s="43"/>
      <c r="I20" s="43"/>
      <c r="J20" s="43"/>
    </row>
    <row r="21" spans="1:10" x14ac:dyDescent="0.25">
      <c r="A21" s="48"/>
      <c r="B21" s="43"/>
      <c r="C21" s="43"/>
      <c r="D21" s="43"/>
      <c r="E21" s="43"/>
      <c r="F21" s="43"/>
      <c r="G21" s="43"/>
      <c r="H21" s="43"/>
      <c r="I21" s="43"/>
      <c r="J21" s="43"/>
    </row>
    <row r="22" spans="1:10" x14ac:dyDescent="0.25">
      <c r="B22" s="24" t="s">
        <v>61</v>
      </c>
      <c r="C22" s="49">
        <f>SUM(D22:I22)</f>
        <v>511823000</v>
      </c>
      <c r="D22" s="49">
        <v>221982000</v>
      </c>
      <c r="E22" s="49">
        <v>75758000</v>
      </c>
      <c r="F22" s="49">
        <v>129514000</v>
      </c>
      <c r="G22" s="49">
        <v>66316000</v>
      </c>
      <c r="H22" s="49">
        <v>11110000</v>
      </c>
      <c r="I22" s="49">
        <v>7143000</v>
      </c>
      <c r="J22" s="43"/>
    </row>
    <row r="23" spans="1:10" x14ac:dyDescent="0.25">
      <c r="B23" s="24" t="s">
        <v>62</v>
      </c>
      <c r="C23" s="50">
        <f t="shared" ref="C23:I23" si="6">C19/C22</f>
        <v>1.1352974545093199E-3</v>
      </c>
      <c r="D23" s="50">
        <f t="shared" si="6"/>
        <v>9.7617010737820144E-4</v>
      </c>
      <c r="E23" s="50">
        <f t="shared" si="6"/>
        <v>9.1027892440660729E-4</v>
      </c>
      <c r="F23" s="50">
        <f t="shared" si="6"/>
        <v>1.1304053392018716E-3</v>
      </c>
      <c r="G23" s="50">
        <f t="shared" si="6"/>
        <v>1.9532541968553486E-3</v>
      </c>
      <c r="H23" s="50">
        <f t="shared" si="6"/>
        <v>1.7182640794495107E-3</v>
      </c>
      <c r="I23" s="185">
        <f t="shared" si="6"/>
        <v>5.5020185547457056E-5</v>
      </c>
    </row>
    <row r="25" spans="1:10" x14ac:dyDescent="0.25">
      <c r="B25" s="17" t="s">
        <v>162</v>
      </c>
      <c r="D25" s="118">
        <f>ROUND((ROUND(D16,5)-ROUND(D17,5))*918,2)</f>
        <v>0.08</v>
      </c>
    </row>
    <row r="26" spans="1:10" x14ac:dyDescent="0.25">
      <c r="B26" s="17" t="s">
        <v>63</v>
      </c>
      <c r="D26" s="127">
        <f>D25/82.79</f>
        <v>9.6630027781132984E-4</v>
      </c>
    </row>
    <row r="28" spans="1:10" x14ac:dyDescent="0.25">
      <c r="F28" s="54"/>
    </row>
    <row r="29" spans="1:10" x14ac:dyDescent="0.25">
      <c r="A29" s="52" t="s">
        <v>30</v>
      </c>
      <c r="B29" s="24" t="s">
        <v>158</v>
      </c>
      <c r="C29" s="79"/>
    </row>
    <row r="30" spans="1:10" x14ac:dyDescent="0.25">
      <c r="A30" s="52"/>
      <c r="B30" s="24" t="s">
        <v>121</v>
      </c>
      <c r="C30" s="79"/>
      <c r="G30" s="123"/>
    </row>
    <row r="31" spans="1:10" x14ac:dyDescent="0.25">
      <c r="A31" s="52" t="s">
        <v>32</v>
      </c>
      <c r="B31" s="24" t="s">
        <v>128</v>
      </c>
      <c r="C31" s="79"/>
      <c r="G31" s="53"/>
    </row>
    <row r="32" spans="1:10" x14ac:dyDescent="0.25">
      <c r="A32" s="52"/>
    </row>
    <row r="38" spans="2:16" ht="30" x14ac:dyDescent="0.25">
      <c r="B38" s="121" t="s">
        <v>105</v>
      </c>
      <c r="M38" s="164" t="s">
        <v>132</v>
      </c>
      <c r="N38" s="165" t="s">
        <v>133</v>
      </c>
      <c r="O38" s="165" t="s">
        <v>134</v>
      </c>
      <c r="P38" s="164" t="s">
        <v>135</v>
      </c>
    </row>
    <row r="39" spans="2:16" x14ac:dyDescent="0.25">
      <c r="B39" s="17" t="s">
        <v>106</v>
      </c>
      <c r="C39" s="51">
        <v>9</v>
      </c>
      <c r="M39" s="166" t="s">
        <v>106</v>
      </c>
      <c r="N39" s="167">
        <v>8.5</v>
      </c>
      <c r="O39" s="167">
        <v>0</v>
      </c>
      <c r="P39" s="167">
        <v>8.5</v>
      </c>
    </row>
    <row r="40" spans="2:16" x14ac:dyDescent="0.25">
      <c r="B40" s="17" t="s">
        <v>107</v>
      </c>
      <c r="C40" s="118">
        <v>7.7079999999999996E-2</v>
      </c>
      <c r="M40" s="166" t="s">
        <v>136</v>
      </c>
      <c r="N40" s="168">
        <f>C40</f>
        <v>7.7079999999999996E-2</v>
      </c>
      <c r="O40" s="168">
        <f>D18</f>
        <v>8.9931079719939543E-5</v>
      </c>
      <c r="P40" s="168">
        <f>N40+O40</f>
        <v>7.7169931079719936E-2</v>
      </c>
    </row>
    <row r="41" spans="2:16" x14ac:dyDescent="0.25">
      <c r="B41" s="17" t="s">
        <v>108</v>
      </c>
      <c r="C41" s="118">
        <v>8.9399999999999993E-2</v>
      </c>
      <c r="M41" s="166" t="s">
        <v>137</v>
      </c>
      <c r="N41" s="168">
        <f>C41</f>
        <v>8.9399999999999993E-2</v>
      </c>
      <c r="O41" s="168">
        <f>D18</f>
        <v>8.9931079719939543E-5</v>
      </c>
      <c r="P41" s="168">
        <f>N41+O41</f>
        <v>8.9489931079719934E-2</v>
      </c>
    </row>
    <row r="42" spans="2:16" x14ac:dyDescent="0.25">
      <c r="B42" s="17" t="s">
        <v>131</v>
      </c>
      <c r="C42" s="51">
        <f>C39+(800*C40)+((918-800)*C41)</f>
        <v>81.213199999999986</v>
      </c>
      <c r="M42" s="166" t="s">
        <v>138</v>
      </c>
      <c r="N42" s="168">
        <v>0.10836</v>
      </c>
      <c r="O42" s="168">
        <f>O41</f>
        <v>8.9931079719939543E-5</v>
      </c>
      <c r="P42" s="168">
        <f>O42+N42</f>
        <v>0.10844993107971994</v>
      </c>
    </row>
    <row r="43" spans="2:16" x14ac:dyDescent="0.25">
      <c r="M43" s="166"/>
      <c r="N43" s="166"/>
      <c r="O43" s="166"/>
      <c r="P43" s="166"/>
    </row>
    <row r="44" spans="2:16" x14ac:dyDescent="0.25">
      <c r="B44" s="17" t="s">
        <v>109</v>
      </c>
      <c r="C44" s="115">
        <f>D25</f>
        <v>0.08</v>
      </c>
      <c r="M44" s="166"/>
      <c r="N44" s="166"/>
      <c r="O44" s="166"/>
      <c r="P44" s="166"/>
    </row>
    <row r="45" spans="2:16" ht="30" x14ac:dyDescent="0.25">
      <c r="M45" s="164" t="s">
        <v>139</v>
      </c>
      <c r="N45" s="169" t="s">
        <v>145</v>
      </c>
      <c r="O45" s="164" t="s">
        <v>153</v>
      </c>
      <c r="P45" s="166"/>
    </row>
    <row r="46" spans="2:16" x14ac:dyDescent="0.25">
      <c r="B46" s="17" t="s">
        <v>120</v>
      </c>
      <c r="C46" s="54">
        <f>SUM(C42:C45)</f>
        <v>81.293199999999985</v>
      </c>
      <c r="M46" s="170" t="s">
        <v>140</v>
      </c>
      <c r="N46" s="166" t="s">
        <v>146</v>
      </c>
      <c r="O46" s="171">
        <f>D23</f>
        <v>9.7617010737820144E-4</v>
      </c>
      <c r="P46" s="166"/>
    </row>
    <row r="47" spans="2:16" x14ac:dyDescent="0.25">
      <c r="M47" s="172" t="s">
        <v>141</v>
      </c>
      <c r="N47" s="166" t="s">
        <v>147</v>
      </c>
      <c r="O47" s="171">
        <f>E23</f>
        <v>9.1027892440660729E-4</v>
      </c>
      <c r="P47" s="166"/>
    </row>
    <row r="48" spans="2:16" x14ac:dyDescent="0.25">
      <c r="M48" s="172" t="s">
        <v>142</v>
      </c>
      <c r="N48" s="166" t="s">
        <v>148</v>
      </c>
      <c r="O48" s="171">
        <f>F23</f>
        <v>1.1304053392018716E-3</v>
      </c>
      <c r="P48" s="166"/>
    </row>
    <row r="49" spans="13:16" x14ac:dyDescent="0.25">
      <c r="M49" s="172" t="s">
        <v>143</v>
      </c>
      <c r="N49" s="166" t="s">
        <v>150</v>
      </c>
      <c r="O49" s="171">
        <f>G23</f>
        <v>1.9532541968553486E-3</v>
      </c>
      <c r="P49" s="166"/>
    </row>
    <row r="50" spans="13:16" x14ac:dyDescent="0.25">
      <c r="M50" s="172" t="s">
        <v>144</v>
      </c>
      <c r="N50" s="166" t="s">
        <v>149</v>
      </c>
      <c r="O50" s="171">
        <f>H23</f>
        <v>1.7182640794495107E-3</v>
      </c>
      <c r="P50" s="166"/>
    </row>
    <row r="51" spans="13:16" x14ac:dyDescent="0.25">
      <c r="M51" s="172" t="s">
        <v>151</v>
      </c>
      <c r="N51" s="166" t="s">
        <v>152</v>
      </c>
      <c r="O51" s="171">
        <f>I23</f>
        <v>5.5020185547457056E-5</v>
      </c>
      <c r="P51" s="166"/>
    </row>
    <row r="52" spans="13:16" x14ac:dyDescent="0.25">
      <c r="M52" s="166"/>
      <c r="N52" s="173" t="s">
        <v>154</v>
      </c>
      <c r="O52" s="174">
        <f>C23</f>
        <v>1.1352974545093199E-3</v>
      </c>
      <c r="P52" s="166"/>
    </row>
    <row r="53" spans="13:16" x14ac:dyDescent="0.25">
      <c r="M53" s="166"/>
      <c r="N53" s="166"/>
      <c r="O53" s="166"/>
      <c r="P53" s="166"/>
    </row>
  </sheetData>
  <pageMargins left="0.7" right="0.7" top="0.75" bottom="0.75" header="0.3" footer="0.3"/>
  <pageSetup scale="48" orientation="landscape" r:id="rId1"/>
  <headerFooter>
    <oddFooter>&amp;L&amp;F&amp;RPage: &amp;P of &amp;N</oddFooter>
  </headerFooter>
  <customProperties>
    <customPr name="xxe4aPID" r:id="rId2"/>
  </customProperties>
  <ignoredErrors>
    <ignoredError sqref="J8 J1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4"/>
  <sheetViews>
    <sheetView tabSelected="1" workbookViewId="0">
      <selection activeCell="T16" sqref="T16"/>
    </sheetView>
  </sheetViews>
  <sheetFormatPr defaultRowHeight="15" x14ac:dyDescent="0.25"/>
  <cols>
    <col min="1" max="1" width="9.140625" style="17"/>
    <col min="2" max="2" width="20.7109375" style="17" customWidth="1"/>
    <col min="3" max="4" width="10.28515625" style="17" customWidth="1"/>
    <col min="5" max="5" width="14" style="17" bestFit="1" customWidth="1"/>
    <col min="6" max="6" width="12.85546875" style="17" customWidth="1"/>
    <col min="7" max="7" width="11.140625" style="17" bestFit="1" customWidth="1"/>
    <col min="8" max="8" width="11.85546875" style="17" bestFit="1" customWidth="1"/>
    <col min="9" max="9" width="11.140625" style="17" bestFit="1" customWidth="1"/>
    <col min="10" max="16384" width="9.140625" style="17"/>
  </cols>
  <sheetData>
    <row r="1" spans="2:9" x14ac:dyDescent="0.25">
      <c r="C1" s="191" t="s">
        <v>122</v>
      </c>
      <c r="D1" s="192"/>
      <c r="E1" s="192"/>
      <c r="F1" s="192"/>
      <c r="G1" s="192"/>
      <c r="H1" s="192"/>
    </row>
    <row r="3" spans="2:9" x14ac:dyDescent="0.25">
      <c r="C3" s="55"/>
      <c r="D3" s="55"/>
      <c r="E3" s="55">
        <f>SUM(F3:I3)</f>
        <v>2927</v>
      </c>
      <c r="F3" s="182">
        <v>743</v>
      </c>
      <c r="G3" s="182">
        <v>720</v>
      </c>
      <c r="H3" s="182">
        <v>744</v>
      </c>
      <c r="I3" s="182">
        <v>720</v>
      </c>
    </row>
    <row r="4" spans="2:9" x14ac:dyDescent="0.25">
      <c r="C4" s="56" t="s">
        <v>1</v>
      </c>
      <c r="D4" s="56" t="s">
        <v>2</v>
      </c>
      <c r="E4" s="56" t="s">
        <v>0</v>
      </c>
      <c r="F4" s="57">
        <v>43525</v>
      </c>
      <c r="G4" s="57">
        <v>43556</v>
      </c>
      <c r="H4" s="57">
        <v>43586</v>
      </c>
      <c r="I4" s="57">
        <v>43617</v>
      </c>
    </row>
    <row r="6" spans="2:9" x14ac:dyDescent="0.25">
      <c r="B6" s="140"/>
      <c r="C6" s="141"/>
      <c r="D6" s="142"/>
      <c r="E6" s="143"/>
      <c r="F6" s="144"/>
      <c r="G6" s="144"/>
      <c r="H6" s="144"/>
      <c r="I6" s="145"/>
    </row>
    <row r="7" spans="2:9" x14ac:dyDescent="0.25">
      <c r="B7" s="148"/>
      <c r="C7" s="150"/>
      <c r="D7" s="137"/>
      <c r="E7" s="138"/>
      <c r="F7" s="139"/>
      <c r="G7" s="139"/>
      <c r="H7" s="139"/>
      <c r="I7" s="149"/>
    </row>
    <row r="8" spans="2:9" ht="15.75" thickBot="1" x14ac:dyDescent="0.3">
      <c r="E8" s="62"/>
    </row>
    <row r="9" spans="2:9" ht="15.75" thickBot="1" x14ac:dyDescent="0.3">
      <c r="B9" s="63" t="s">
        <v>64</v>
      </c>
      <c r="C9" s="64"/>
      <c r="D9" s="64"/>
      <c r="E9" s="65">
        <v>-468320</v>
      </c>
    </row>
    <row r="10" spans="2:9" x14ac:dyDescent="0.25">
      <c r="B10" s="66"/>
      <c r="C10" s="66"/>
      <c r="D10" s="66"/>
      <c r="E10" s="67"/>
      <c r="F10" s="177"/>
      <c r="G10" s="177"/>
      <c r="H10" s="177"/>
      <c r="I10" s="177"/>
    </row>
    <row r="11" spans="2:9" x14ac:dyDescent="0.25">
      <c r="B11" s="66" t="s">
        <v>65</v>
      </c>
      <c r="C11" s="66"/>
      <c r="D11" s="66"/>
      <c r="E11" s="67"/>
      <c r="F11" s="190">
        <v>0.6573</v>
      </c>
      <c r="G11" s="190">
        <v>0.6573</v>
      </c>
      <c r="H11" s="190">
        <v>0.6573</v>
      </c>
      <c r="I11" s="190">
        <v>0.6573</v>
      </c>
    </row>
    <row r="12" spans="2:9" x14ac:dyDescent="0.25">
      <c r="B12" s="66"/>
      <c r="C12" s="130"/>
      <c r="D12" s="160"/>
      <c r="E12" s="68"/>
      <c r="F12" s="61">
        <v>78139.823999999993</v>
      </c>
      <c r="G12" s="61">
        <v>92284.92</v>
      </c>
      <c r="H12" s="61">
        <v>78244.991999999998</v>
      </c>
      <c r="I12" s="61">
        <v>75720.960000000006</v>
      </c>
    </row>
    <row r="13" spans="2:9" x14ac:dyDescent="0.25">
      <c r="B13" s="66"/>
      <c r="C13" s="66"/>
      <c r="D13" s="66"/>
      <c r="E13" s="68"/>
    </row>
    <row r="14" spans="2:9" x14ac:dyDescent="0.25">
      <c r="B14" s="66" t="s">
        <v>66</v>
      </c>
      <c r="C14" s="66"/>
      <c r="D14" s="177" t="s">
        <v>159</v>
      </c>
      <c r="E14" s="183">
        <f>'7-2019 thru 6-2020 RECs'!E13</f>
        <v>0.6573</v>
      </c>
      <c r="F14" s="61">
        <f>-F12</f>
        <v>-78139.823999999993</v>
      </c>
      <c r="G14" s="61">
        <f>-G12</f>
        <v>-92284.92</v>
      </c>
      <c r="H14" s="61">
        <f>-H12</f>
        <v>-78244.991999999998</v>
      </c>
      <c r="I14" s="61">
        <f>-I12</f>
        <v>-75720.960000000006</v>
      </c>
    </row>
    <row r="15" spans="2:9" x14ac:dyDescent="0.25">
      <c r="B15" s="66"/>
      <c r="C15" s="66"/>
      <c r="D15" s="66"/>
      <c r="E15" s="67"/>
    </row>
    <row r="16" spans="2:9" x14ac:dyDescent="0.25">
      <c r="B16" s="17" t="s">
        <v>41</v>
      </c>
      <c r="C16" s="130"/>
      <c r="D16" s="177" t="s">
        <v>159</v>
      </c>
      <c r="E16" s="176">
        <f>'CF WA Elec'!E19</f>
        <v>0.95332300000000003</v>
      </c>
      <c r="F16" s="129">
        <f>E16</f>
        <v>0.95332300000000003</v>
      </c>
      <c r="G16" s="129">
        <f>F16</f>
        <v>0.95332300000000003</v>
      </c>
      <c r="H16" s="181">
        <f>'7-2019 thru 6-2020 RECs'!E25</f>
        <v>0.95332300000000003</v>
      </c>
      <c r="I16" s="181">
        <f>H16</f>
        <v>0.95332300000000003</v>
      </c>
    </row>
    <row r="17" spans="2:9" ht="15.75" thickBot="1" x14ac:dyDescent="0.3"/>
    <row r="18" spans="2:9" ht="15.75" thickBot="1" x14ac:dyDescent="0.3">
      <c r="B18" s="63" t="s">
        <v>42</v>
      </c>
      <c r="C18" s="64"/>
      <c r="D18" s="64"/>
      <c r="E18" s="65">
        <f>SUM(F18:I18)</f>
        <v>-340273.64911997295</v>
      </c>
      <c r="F18" s="178">
        <f>F14/F16</f>
        <v>-81965.738789476381</v>
      </c>
      <c r="G18" s="178">
        <f t="shared" ref="G18:I18" si="0">G14/G16</f>
        <v>-96803.412904125886</v>
      </c>
      <c r="H18" s="178">
        <f t="shared" si="0"/>
        <v>-82076.056069139202</v>
      </c>
      <c r="I18" s="178">
        <f t="shared" si="0"/>
        <v>-79428.441357231495</v>
      </c>
    </row>
    <row r="20" spans="2:9" x14ac:dyDescent="0.25">
      <c r="E20" s="51"/>
    </row>
    <row r="28" spans="2:9" x14ac:dyDescent="0.25">
      <c r="G28" s="123"/>
    </row>
    <row r="36" spans="2:3" x14ac:dyDescent="0.25">
      <c r="B36" s="121"/>
    </row>
    <row r="37" spans="2:3" x14ac:dyDescent="0.25">
      <c r="C37" s="51"/>
    </row>
    <row r="38" spans="2:3" x14ac:dyDescent="0.25">
      <c r="C38" s="118"/>
    </row>
    <row r="39" spans="2:3" x14ac:dyDescent="0.25">
      <c r="C39" s="118"/>
    </row>
    <row r="44" spans="2:3" x14ac:dyDescent="0.25">
      <c r="B44" s="17" t="s">
        <v>120</v>
      </c>
    </row>
  </sheetData>
  <mergeCells count="1">
    <mergeCell ref="C1:H1"/>
  </mergeCells>
  <pageMargins left="0.7" right="0.7" top="0.75" bottom="0.75" header="0.3" footer="0.3"/>
  <pageSetup scale="78" orientation="landscape" r:id="rId1"/>
  <headerFooter>
    <oddFooter>&amp;L&amp;F&amp;RPage: &amp;P of &amp;N</oddFooter>
  </headerFooter>
  <customProperties>
    <customPr name="xxe4aP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36"/>
  <sheetViews>
    <sheetView tabSelected="1" workbookViewId="0">
      <selection activeCell="T16" sqref="T16"/>
    </sheetView>
  </sheetViews>
  <sheetFormatPr defaultRowHeight="15" x14ac:dyDescent="0.25"/>
  <cols>
    <col min="1" max="1" width="9.140625" style="17"/>
    <col min="2" max="2" width="17.85546875" style="17" customWidth="1"/>
    <col min="3" max="4" width="10.28515625" style="17" customWidth="1"/>
    <col min="5" max="5" width="14" style="17" bestFit="1" customWidth="1"/>
    <col min="6" max="7" width="11.140625" style="17" bestFit="1" customWidth="1"/>
    <col min="8" max="8" width="9.85546875" style="17" customWidth="1"/>
    <col min="9" max="9" width="9.5703125" style="17" customWidth="1"/>
    <col min="10" max="17" width="11.140625" style="17" bestFit="1" customWidth="1"/>
    <col min="18" max="16384" width="9.140625" style="17"/>
  </cols>
  <sheetData>
    <row r="1" spans="2:17" x14ac:dyDescent="0.25">
      <c r="D1" s="191" t="s">
        <v>122</v>
      </c>
      <c r="E1" s="192"/>
      <c r="F1" s="192"/>
      <c r="G1" s="192"/>
      <c r="H1" s="192"/>
      <c r="I1" s="192"/>
    </row>
    <row r="3" spans="2:17" x14ac:dyDescent="0.25">
      <c r="C3" s="55"/>
      <c r="D3" s="55"/>
      <c r="E3" s="55">
        <f>SUM(F3:Q3)</f>
        <v>8784</v>
      </c>
      <c r="F3" s="55">
        <v>744</v>
      </c>
      <c r="G3" s="55">
        <v>744</v>
      </c>
      <c r="H3" s="55">
        <v>720</v>
      </c>
      <c r="I3" s="55">
        <v>744</v>
      </c>
      <c r="J3" s="55">
        <v>721</v>
      </c>
      <c r="K3" s="55">
        <v>744</v>
      </c>
      <c r="L3" s="55">
        <v>744</v>
      </c>
      <c r="M3" s="55">
        <v>696</v>
      </c>
      <c r="N3" s="55">
        <v>743</v>
      </c>
      <c r="O3" s="55">
        <v>720</v>
      </c>
      <c r="P3" s="55">
        <v>744</v>
      </c>
      <c r="Q3" s="55">
        <v>720</v>
      </c>
    </row>
    <row r="4" spans="2:17" x14ac:dyDescent="0.25">
      <c r="C4" s="56" t="s">
        <v>1</v>
      </c>
      <c r="D4" s="56" t="s">
        <v>2</v>
      </c>
      <c r="E4" s="56" t="s">
        <v>0</v>
      </c>
      <c r="F4" s="57">
        <v>43647</v>
      </c>
      <c r="G4" s="57">
        <v>43678</v>
      </c>
      <c r="H4" s="57">
        <v>43709</v>
      </c>
      <c r="I4" s="57">
        <v>43739</v>
      </c>
      <c r="J4" s="57">
        <v>43770</v>
      </c>
      <c r="K4" s="57">
        <v>43800</v>
      </c>
      <c r="L4" s="57">
        <v>43831</v>
      </c>
      <c r="M4" s="57">
        <v>43862</v>
      </c>
      <c r="N4" s="57">
        <v>43891</v>
      </c>
      <c r="O4" s="57">
        <v>43922</v>
      </c>
      <c r="P4" s="57">
        <v>43952</v>
      </c>
      <c r="Q4" s="57">
        <v>43983</v>
      </c>
    </row>
    <row r="6" spans="2:17" x14ac:dyDescent="0.25">
      <c r="B6" s="140"/>
      <c r="C6" s="141"/>
      <c r="D6" s="142"/>
      <c r="E6" s="143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5"/>
    </row>
    <row r="7" spans="2:17" x14ac:dyDescent="0.25">
      <c r="B7" s="146"/>
      <c r="C7" s="131"/>
      <c r="D7" s="132"/>
      <c r="E7" s="133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47"/>
    </row>
    <row r="8" spans="2:17" x14ac:dyDescent="0.25">
      <c r="B8" s="146"/>
      <c r="C8" s="131"/>
      <c r="D8" s="132"/>
      <c r="E8" s="133"/>
      <c r="F8" s="135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47"/>
    </row>
    <row r="9" spans="2:17" x14ac:dyDescent="0.25">
      <c r="B9" s="148"/>
      <c r="C9" s="136"/>
      <c r="D9" s="137"/>
      <c r="E9" s="138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49"/>
    </row>
    <row r="10" spans="2:17" ht="15.75" thickBot="1" x14ac:dyDescent="0.3">
      <c r="D10" s="58"/>
      <c r="E10" s="59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</row>
    <row r="11" spans="2:17" ht="15.75" thickBot="1" x14ac:dyDescent="0.3">
      <c r="B11" s="63" t="s">
        <v>64</v>
      </c>
      <c r="C11" s="64"/>
      <c r="D11" s="64"/>
      <c r="E11" s="65">
        <v>-1426440</v>
      </c>
    </row>
    <row r="12" spans="2:17" x14ac:dyDescent="0.25">
      <c r="B12" s="66"/>
      <c r="C12" s="66"/>
      <c r="D12" s="66"/>
      <c r="E12" s="67"/>
    </row>
    <row r="13" spans="2:17" x14ac:dyDescent="0.25">
      <c r="B13" s="66" t="s">
        <v>65</v>
      </c>
      <c r="C13" s="66"/>
      <c r="D13" s="160" t="s">
        <v>155</v>
      </c>
      <c r="E13" s="68">
        <v>0.6573</v>
      </c>
      <c r="F13" s="61">
        <v>88025.615999999995</v>
      </c>
      <c r="G13" s="61">
        <v>88025.615999999995</v>
      </c>
      <c r="H13" s="61">
        <v>85186.08</v>
      </c>
      <c r="I13" s="61">
        <v>88025.615999999995</v>
      </c>
      <c r="J13" s="61">
        <v>85304.394</v>
      </c>
      <c r="K13" s="61">
        <v>88025.615999999995</v>
      </c>
      <c r="L13" s="61">
        <v>68464.368000000002</v>
      </c>
      <c r="M13" s="61">
        <v>64047.311999999998</v>
      </c>
      <c r="N13" s="61">
        <v>68372.346000000005</v>
      </c>
      <c r="O13" s="61">
        <v>79401.84</v>
      </c>
      <c r="P13" s="61">
        <v>68464.368000000002</v>
      </c>
      <c r="Q13" s="61">
        <v>66255.839999999997</v>
      </c>
    </row>
    <row r="14" spans="2:17" x14ac:dyDescent="0.25">
      <c r="B14" s="66"/>
      <c r="C14" s="66"/>
      <c r="D14" s="66"/>
      <c r="E14" s="68"/>
    </row>
    <row r="15" spans="2:17" x14ac:dyDescent="0.25">
      <c r="B15" s="66" t="s">
        <v>66</v>
      </c>
      <c r="C15" s="66"/>
      <c r="D15" s="66"/>
      <c r="E15" s="67">
        <f>E11*E13</f>
        <v>-937599.01199999999</v>
      </c>
      <c r="G15" s="79"/>
      <c r="H15" s="79"/>
      <c r="I15" s="79"/>
      <c r="J15" s="79"/>
    </row>
    <row r="16" spans="2:17" x14ac:dyDescent="0.25">
      <c r="B16" s="66"/>
      <c r="C16" s="66"/>
      <c r="D16" s="66"/>
      <c r="E16" s="67"/>
      <c r="G16" s="79"/>
      <c r="H16" s="79"/>
      <c r="I16" s="79"/>
      <c r="J16" s="80"/>
    </row>
    <row r="17" spans="2:10" x14ac:dyDescent="0.25">
      <c r="B17" s="17" t="s">
        <v>89</v>
      </c>
      <c r="C17" s="66"/>
      <c r="D17" s="66"/>
      <c r="E17" s="67">
        <f>-'Forecast Balance'!H8</f>
        <v>-416180.25487767922</v>
      </c>
      <c r="G17" s="79"/>
      <c r="H17" s="79"/>
      <c r="I17" s="79"/>
      <c r="J17" s="80"/>
    </row>
    <row r="18" spans="2:10" x14ac:dyDescent="0.25">
      <c r="B18" s="66"/>
      <c r="C18" s="66"/>
      <c r="D18" s="66"/>
      <c r="E18" s="67"/>
      <c r="G18" s="79"/>
      <c r="H18" s="79"/>
      <c r="I18" s="79"/>
      <c r="J18" s="80"/>
    </row>
    <row r="19" spans="2:10" x14ac:dyDescent="0.25">
      <c r="B19" s="66" t="s">
        <v>94</v>
      </c>
      <c r="C19" s="66"/>
      <c r="D19" s="66"/>
      <c r="E19" s="67">
        <f>E15+E17</f>
        <v>-1353779.2668776792</v>
      </c>
      <c r="G19" s="79"/>
      <c r="H19" s="79"/>
      <c r="I19" s="79"/>
      <c r="J19" s="80"/>
    </row>
    <row r="20" spans="2:10" x14ac:dyDescent="0.25">
      <c r="B20" s="66"/>
      <c r="C20" s="66"/>
      <c r="D20" s="66"/>
      <c r="E20" s="67"/>
      <c r="G20" s="125"/>
      <c r="H20" s="79"/>
      <c r="I20" s="79"/>
      <c r="J20" s="80"/>
    </row>
    <row r="21" spans="2:10" x14ac:dyDescent="0.25">
      <c r="B21" s="66" t="s">
        <v>95</v>
      </c>
      <c r="C21" s="66"/>
      <c r="D21" s="66"/>
      <c r="E21" s="67">
        <f>-'Forecast Balance'!B19</f>
        <v>-15209.810182412039</v>
      </c>
      <c r="G21" s="79"/>
      <c r="H21" s="79"/>
      <c r="I21" s="79"/>
      <c r="J21" s="80"/>
    </row>
    <row r="22" spans="2:10" x14ac:dyDescent="0.25">
      <c r="B22" s="66"/>
      <c r="C22" s="66"/>
      <c r="D22" s="66"/>
      <c r="E22" s="67"/>
      <c r="G22" s="79"/>
      <c r="H22" s="79"/>
      <c r="I22" s="79"/>
      <c r="J22" s="79"/>
    </row>
    <row r="23" spans="2:10" x14ac:dyDescent="0.25">
      <c r="B23" s="66" t="s">
        <v>96</v>
      </c>
      <c r="C23" s="66"/>
      <c r="D23" s="66"/>
      <c r="E23" s="67">
        <f>E19+E21</f>
        <v>-1368989.0770600913</v>
      </c>
    </row>
    <row r="24" spans="2:10" x14ac:dyDescent="0.25">
      <c r="B24" s="66"/>
      <c r="C24" s="66"/>
      <c r="D24" s="66"/>
      <c r="E24" s="67"/>
    </row>
    <row r="25" spans="2:10" x14ac:dyDescent="0.25">
      <c r="B25" s="17" t="s">
        <v>41</v>
      </c>
      <c r="D25" s="160" t="s">
        <v>155</v>
      </c>
      <c r="E25" s="176">
        <f>'CF WA Elec'!E19</f>
        <v>0.95332300000000003</v>
      </c>
    </row>
    <row r="26" spans="2:10" ht="15.75" thickBot="1" x14ac:dyDescent="0.3"/>
    <row r="27" spans="2:10" ht="15.75" thickBot="1" x14ac:dyDescent="0.3">
      <c r="B27" s="63" t="s">
        <v>42</v>
      </c>
      <c r="C27" s="64"/>
      <c r="D27" s="64"/>
      <c r="E27" s="65">
        <f>E23/E25</f>
        <v>-1436018.0936157957</v>
      </c>
    </row>
    <row r="28" spans="2:10" x14ac:dyDescent="0.25">
      <c r="B28" s="121"/>
    </row>
    <row r="29" spans="2:10" x14ac:dyDescent="0.25">
      <c r="C29" s="51"/>
    </row>
    <row r="30" spans="2:10" x14ac:dyDescent="0.25">
      <c r="C30" s="118"/>
    </row>
    <row r="31" spans="2:10" x14ac:dyDescent="0.25">
      <c r="C31" s="118"/>
    </row>
    <row r="36" spans="2:2" x14ac:dyDescent="0.25">
      <c r="B36" s="17" t="s">
        <v>120</v>
      </c>
    </row>
  </sheetData>
  <mergeCells count="1">
    <mergeCell ref="D1:I1"/>
  </mergeCells>
  <pageMargins left="0.7" right="0.7" top="0.75" bottom="0.75" header="0.3" footer="0.3"/>
  <pageSetup scale="65" orientation="landscape" r:id="rId1"/>
  <headerFooter>
    <oddFooter>&amp;L&amp;F&amp;RPage: &amp;P of &amp;N</oddFooter>
  </headerFooter>
  <customProperties>
    <customPr name="xxe4aP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42"/>
  <sheetViews>
    <sheetView tabSelected="1" topLeftCell="B1" zoomScaleNormal="100" workbookViewId="0">
      <selection activeCell="T16" sqref="T16"/>
    </sheetView>
  </sheetViews>
  <sheetFormatPr defaultRowHeight="12.75" x14ac:dyDescent="0.2"/>
  <cols>
    <col min="1" max="1" width="41.85546875" bestFit="1" customWidth="1"/>
    <col min="2" max="2" width="13.42578125" bestFit="1" customWidth="1"/>
    <col min="3" max="3" width="13.85546875" customWidth="1"/>
    <col min="4" max="11" width="10.5703125" customWidth="1"/>
    <col min="12" max="12" width="10.42578125" bestFit="1" customWidth="1"/>
    <col min="13" max="17" width="10.5703125" customWidth="1"/>
    <col min="18" max="18" width="10.7109375" bestFit="1" customWidth="1"/>
    <col min="19" max="20" width="12.28515625" customWidth="1"/>
    <col min="21" max="22" width="11.85546875" bestFit="1" customWidth="1"/>
  </cols>
  <sheetData>
    <row r="1" spans="1:22" x14ac:dyDescent="0.2">
      <c r="A1" s="2"/>
      <c r="B1" s="2">
        <v>2018</v>
      </c>
      <c r="C1" s="2">
        <v>2019</v>
      </c>
      <c r="D1" s="2">
        <v>2019</v>
      </c>
      <c r="E1" s="2">
        <v>2019</v>
      </c>
      <c r="F1" s="2">
        <v>2019</v>
      </c>
      <c r="G1" s="2">
        <v>2019</v>
      </c>
      <c r="H1" s="2">
        <v>2019</v>
      </c>
      <c r="I1" s="158" t="s">
        <v>103</v>
      </c>
      <c r="J1" s="2">
        <v>2019</v>
      </c>
      <c r="K1" s="2">
        <v>2019</v>
      </c>
      <c r="L1" s="2">
        <v>2019</v>
      </c>
      <c r="M1" s="2">
        <v>2019</v>
      </c>
      <c r="N1" s="159">
        <v>2019</v>
      </c>
      <c r="O1" s="159" t="s">
        <v>103</v>
      </c>
      <c r="P1" s="2">
        <v>2020</v>
      </c>
      <c r="Q1" s="2">
        <v>2020</v>
      </c>
      <c r="R1" s="2">
        <v>2020</v>
      </c>
      <c r="S1" s="2">
        <v>2020</v>
      </c>
      <c r="T1" s="2">
        <v>2020</v>
      </c>
    </row>
    <row r="2" spans="1:22" x14ac:dyDescent="0.2">
      <c r="A2" s="4"/>
      <c r="B2" s="4" t="s">
        <v>76</v>
      </c>
      <c r="C2" s="4" t="s">
        <v>77</v>
      </c>
      <c r="D2" s="4" t="s">
        <v>78</v>
      </c>
      <c r="E2" s="4" t="s">
        <v>67</v>
      </c>
      <c r="F2" s="4" t="s">
        <v>68</v>
      </c>
      <c r="G2" s="4" t="s">
        <v>69</v>
      </c>
      <c r="H2" s="4" t="s">
        <v>70</v>
      </c>
      <c r="I2" s="4" t="s">
        <v>71</v>
      </c>
      <c r="J2" s="4" t="s">
        <v>72</v>
      </c>
      <c r="K2" s="4" t="s">
        <v>73</v>
      </c>
      <c r="L2" s="4" t="s">
        <v>74</v>
      </c>
      <c r="M2" s="4" t="s">
        <v>75</v>
      </c>
      <c r="N2" s="4" t="s">
        <v>76</v>
      </c>
      <c r="O2" s="4" t="s">
        <v>77</v>
      </c>
      <c r="P2" s="4" t="s">
        <v>78</v>
      </c>
      <c r="Q2" s="4" t="s">
        <v>67</v>
      </c>
      <c r="R2" s="4" t="s">
        <v>68</v>
      </c>
      <c r="S2" s="4" t="s">
        <v>69</v>
      </c>
      <c r="T2" s="4" t="s">
        <v>70</v>
      </c>
      <c r="U2" s="5"/>
    </row>
    <row r="3" spans="1:22" x14ac:dyDescent="0.2">
      <c r="A3" s="2" t="s">
        <v>101</v>
      </c>
      <c r="B3" s="7">
        <v>0</v>
      </c>
      <c r="C3" s="15">
        <v>-182008</v>
      </c>
      <c r="D3" s="15">
        <v>-171867</v>
      </c>
      <c r="E3" s="15">
        <f>'Forecasted Revenue'!D39</f>
        <v>-160388.10778665388</v>
      </c>
      <c r="F3" s="15">
        <f>'Forecasted Revenue'!E39</f>
        <v>-143829.83417465101</v>
      </c>
      <c r="G3" s="15">
        <f>'Forecasted Revenue'!F39</f>
        <v>-142782.31978597332</v>
      </c>
      <c r="H3" s="15">
        <f>'Forecasted Revenue'!G39</f>
        <v>-141864.54028178225</v>
      </c>
      <c r="I3" s="15">
        <f>'Forecasted Revenue'!H39</f>
        <v>-118678.04012057916</v>
      </c>
      <c r="J3" s="15">
        <f>'Forecasted Revenue'!I39</f>
        <v>-114395.08738418932</v>
      </c>
      <c r="K3" s="15">
        <f>'Forecasted Revenue'!J39</f>
        <v>-103213.07330348862</v>
      </c>
      <c r="L3" s="15">
        <f>'Forecasted Revenue'!K39</f>
        <v>-107767.47653831985</v>
      </c>
      <c r="M3" s="15">
        <f>'Forecasted Revenue'!L39</f>
        <v>-119564.90106786402</v>
      </c>
      <c r="N3" s="15">
        <f>'Forecasted Revenue'!M39</f>
        <v>-136022.42302962186</v>
      </c>
      <c r="O3" s="15">
        <f>'Forecasted Revenue'!N39</f>
        <v>-133006.83267342145</v>
      </c>
      <c r="P3" s="15">
        <f>'Forecasted Revenue'!O39</f>
        <v>-115417.77884521025</v>
      </c>
      <c r="Q3" s="15">
        <f>'Forecasted Revenue'!P39</f>
        <v>-115651.45904281508</v>
      </c>
      <c r="R3" s="15">
        <f>'Forecasted Revenue'!Q39</f>
        <v>-103138.50511366474</v>
      </c>
      <c r="S3" s="15">
        <f>'Forecasted Revenue'!R39</f>
        <v>-101208.02909417378</v>
      </c>
      <c r="T3" s="15">
        <f>'Forecasted Revenue'!S39</f>
        <v>-100925.47084674312</v>
      </c>
      <c r="U3" s="5"/>
      <c r="V3" s="15">
        <f>SUM(I3:U3)</f>
        <v>-1368989.0770600913</v>
      </c>
    </row>
    <row r="4" spans="1:22" x14ac:dyDescent="0.2">
      <c r="A4" s="2" t="s">
        <v>90</v>
      </c>
      <c r="B4" s="7">
        <v>0</v>
      </c>
      <c r="C4" s="15">
        <v>93629</v>
      </c>
      <c r="D4" s="15">
        <v>68407</v>
      </c>
      <c r="E4" s="15">
        <f>-'3-2019 thru 6-2019 RECs'!F14</f>
        <v>78139.823999999993</v>
      </c>
      <c r="F4" s="15">
        <f>-'3-2019 thru 6-2019 RECs'!G14</f>
        <v>92284.92</v>
      </c>
      <c r="G4" s="15">
        <f>-'3-2019 thru 6-2019 RECs'!H14</f>
        <v>78244.991999999998</v>
      </c>
      <c r="H4" s="15">
        <f>-'3-2019 thru 6-2019 RECs'!I14</f>
        <v>75720.960000000006</v>
      </c>
      <c r="I4" s="16">
        <f>'7-2019 thru 6-2020 RECs'!F13</f>
        <v>88025.615999999995</v>
      </c>
      <c r="J4" s="16">
        <f>'7-2019 thru 6-2020 RECs'!G13</f>
        <v>88025.615999999995</v>
      </c>
      <c r="K4" s="16">
        <f>'7-2019 thru 6-2020 RECs'!H13</f>
        <v>85186.08</v>
      </c>
      <c r="L4" s="16">
        <f>'7-2019 thru 6-2020 RECs'!I13</f>
        <v>88025.615999999995</v>
      </c>
      <c r="M4" s="16">
        <f>'7-2019 thru 6-2020 RECs'!J13</f>
        <v>85304.394</v>
      </c>
      <c r="N4" s="16">
        <f>'7-2019 thru 6-2020 RECs'!K13</f>
        <v>88025.615999999995</v>
      </c>
      <c r="O4" s="16">
        <f>'7-2019 thru 6-2020 RECs'!L13</f>
        <v>68464.368000000002</v>
      </c>
      <c r="P4" s="16">
        <f>'7-2019 thru 6-2020 RECs'!M13</f>
        <v>64047.311999999998</v>
      </c>
      <c r="Q4" s="16">
        <f>'7-2019 thru 6-2020 RECs'!N13</f>
        <v>68372.346000000005</v>
      </c>
      <c r="R4" s="16">
        <f>'7-2019 thru 6-2020 RECs'!O13</f>
        <v>79401.84</v>
      </c>
      <c r="S4" s="16">
        <f>'7-2019 thru 6-2020 RECs'!P13</f>
        <v>68464.368000000002</v>
      </c>
      <c r="T4" s="16">
        <f>'7-2019 thru 6-2020 RECs'!Q13</f>
        <v>66255.839999999997</v>
      </c>
      <c r="U4" s="5"/>
      <c r="V4" s="15">
        <f>SUM(I4:U4)</f>
        <v>937599.01199999987</v>
      </c>
    </row>
    <row r="5" spans="1:22" x14ac:dyDescent="0.2">
      <c r="A5" s="2" t="s">
        <v>79</v>
      </c>
      <c r="B5" s="12">
        <v>0</v>
      </c>
      <c r="C5" s="12">
        <f>C3+C4</f>
        <v>-88379</v>
      </c>
      <c r="D5" s="12">
        <f>D3+D4</f>
        <v>-103460</v>
      </c>
      <c r="E5" s="12">
        <f t="shared" ref="E5:T5" si="0">E3+E4</f>
        <v>-82248.28378665389</v>
      </c>
      <c r="F5" s="12">
        <f t="shared" si="0"/>
        <v>-51544.914174651014</v>
      </c>
      <c r="G5" s="12">
        <f>G3+G4</f>
        <v>-64537.327785973321</v>
      </c>
      <c r="H5" s="12">
        <f>H3+H4</f>
        <v>-66143.58028178224</v>
      </c>
      <c r="I5" s="12">
        <f>I3+I4</f>
        <v>-30652.424120579162</v>
      </c>
      <c r="J5" s="12">
        <f t="shared" si="0"/>
        <v>-26369.471384189324</v>
      </c>
      <c r="K5" s="12">
        <f t="shared" si="0"/>
        <v>-18026.99330348862</v>
      </c>
      <c r="L5" s="12">
        <f t="shared" si="0"/>
        <v>-19741.860538319859</v>
      </c>
      <c r="M5" s="12">
        <f t="shared" si="0"/>
        <v>-34260.507067864019</v>
      </c>
      <c r="N5" s="12">
        <f t="shared" si="0"/>
        <v>-47996.807029621865</v>
      </c>
      <c r="O5" s="12">
        <f t="shared" si="0"/>
        <v>-64542.464673421448</v>
      </c>
      <c r="P5" s="12">
        <f t="shared" si="0"/>
        <v>-51370.466845210256</v>
      </c>
      <c r="Q5" s="12">
        <f t="shared" si="0"/>
        <v>-47279.113042815079</v>
      </c>
      <c r="R5" s="12">
        <f t="shared" si="0"/>
        <v>-23736.665113664742</v>
      </c>
      <c r="S5" s="12">
        <f t="shared" si="0"/>
        <v>-32743.661094173774</v>
      </c>
      <c r="T5" s="14">
        <f t="shared" si="0"/>
        <v>-34669.630846743123</v>
      </c>
      <c r="U5" s="5"/>
      <c r="V5" s="15"/>
    </row>
    <row r="6" spans="1:22" x14ac:dyDescent="0.2">
      <c r="A6" s="2" t="s">
        <v>102</v>
      </c>
      <c r="B6" s="7">
        <v>0</v>
      </c>
      <c r="C6" s="7">
        <f>B8+C5</f>
        <v>763374</v>
      </c>
      <c r="D6" s="7">
        <f>C6+D5</f>
        <v>659914</v>
      </c>
      <c r="E6" s="7">
        <f>D6+E5</f>
        <v>577665.71621334611</v>
      </c>
      <c r="F6" s="7">
        <f>E6+F5</f>
        <v>526120.80203869508</v>
      </c>
      <c r="G6" s="7">
        <f>F6+G5</f>
        <v>461583.47425272176</v>
      </c>
      <c r="H6" s="7">
        <f>G6+H5</f>
        <v>395439.89397093951</v>
      </c>
      <c r="I6" s="7">
        <f>H8+I5</f>
        <v>385527.83075710008</v>
      </c>
      <c r="J6" s="7">
        <f>I6+J5</f>
        <v>359158.35937291075</v>
      </c>
      <c r="K6" s="7">
        <f>J6+K5</f>
        <v>341131.3660694221</v>
      </c>
      <c r="L6" s="7">
        <f>K6+L5</f>
        <v>321389.50553110224</v>
      </c>
      <c r="M6" s="7">
        <f>L6+M5</f>
        <v>287128.99846323824</v>
      </c>
      <c r="N6" s="7">
        <f>M6+N5</f>
        <v>239132.19143361639</v>
      </c>
      <c r="O6" s="7">
        <f>N8+O5</f>
        <v>186199.3324537595</v>
      </c>
      <c r="P6" s="7">
        <f>O6+P5</f>
        <v>134828.86560854924</v>
      </c>
      <c r="Q6" s="7">
        <f>P6+Q5</f>
        <v>87549.752565734161</v>
      </c>
      <c r="R6" s="7">
        <f>Q6+R5</f>
        <v>63813.08745206942</v>
      </c>
      <c r="S6" s="7">
        <f>R6+S5</f>
        <v>31069.426357895645</v>
      </c>
      <c r="T6" s="7">
        <f>S6+T5</f>
        <v>-3600.2044888474775</v>
      </c>
      <c r="U6" s="5"/>
      <c r="V6" s="15"/>
    </row>
    <row r="7" spans="1:22" x14ac:dyDescent="0.2">
      <c r="A7" s="2" t="s">
        <v>93</v>
      </c>
      <c r="B7" s="13">
        <v>0</v>
      </c>
      <c r="C7" s="12">
        <f>(B8+(0.5*C5))*$C$25</f>
        <v>4636.7604291666667</v>
      </c>
      <c r="D7" s="12">
        <f>(C6+(0.5*D5))*$C$25</f>
        <v>4086.0226333333335</v>
      </c>
      <c r="E7" s="12">
        <f>(D6+(0.5*E5))*$C$25</f>
        <v>3552.8851019624808</v>
      </c>
      <c r="F7" s="12">
        <f>(E6+(0.5*F5))*$C$25</f>
        <v>3168.7871294819015</v>
      </c>
      <c r="G7" s="12">
        <f>(F6+(0.5*G5))*$C$25</f>
        <v>2835.5343598532759</v>
      </c>
      <c r="H7" s="12">
        <f>(G6+(0.5*H5))*$C$25</f>
        <v>2460.3712529420945</v>
      </c>
      <c r="I7" s="12">
        <f>(H8+(0.5*I5))*$C$25</f>
        <v>2301.5702958431789</v>
      </c>
      <c r="J7" s="12">
        <f>(I6+(0.5*J5))*$C$25</f>
        <v>2137.8699374982393</v>
      </c>
      <c r="K7" s="12">
        <f>(J6+(0.5*K5))*$C$25</f>
        <v>2010.4150867906974</v>
      </c>
      <c r="L7" s="12">
        <f>(K6+(0.5*L5))*$C$25</f>
        <v>1901.9870022198384</v>
      </c>
      <c r="M7" s="12">
        <f>(L6+(0.5*M5))*$C$25</f>
        <v>1746.9552052170857</v>
      </c>
      <c r="N7" s="12">
        <f>(M6+(0.5*N5))*$C$25</f>
        <v>1510.8081659955533</v>
      </c>
      <c r="O7" s="12">
        <f>(N8+(0.5*O5))*$C$25</f>
        <v>1254.3851595052834</v>
      </c>
      <c r="P7" s="12">
        <f>(O6+(0.5*P5))*$C$25</f>
        <v>921.61845193721138</v>
      </c>
      <c r="Q7" s="12">
        <f>(P6+(0.5*Q5))*$C$25</f>
        <v>638.41194967533863</v>
      </c>
      <c r="R7" s="12">
        <f>(Q6+(0.5*R5))*$C$25</f>
        <v>434.53748655111116</v>
      </c>
      <c r="S7" s="12">
        <f>(R6+(0.5*S5))*$C$25</f>
        <v>272.39188339610803</v>
      </c>
      <c r="T7" s="12">
        <f>(S6+(0.5*T5))*$C$25</f>
        <v>78.859557782392443</v>
      </c>
      <c r="U7" s="126"/>
      <c r="V7" s="15">
        <f>SUM(I7:U7)</f>
        <v>15209.810182412039</v>
      </c>
    </row>
    <row r="8" spans="1:22" x14ac:dyDescent="0.2">
      <c r="A8" s="2" t="s">
        <v>104</v>
      </c>
      <c r="B8" s="7">
        <v>851753</v>
      </c>
      <c r="C8" s="7">
        <f>C6+C7</f>
        <v>768010.76042916672</v>
      </c>
      <c r="D8" s="7">
        <f>D6+D7+C7</f>
        <v>668636.78306250006</v>
      </c>
      <c r="E8" s="7">
        <f>E6+E7+D7+C7</f>
        <v>589941.38437780866</v>
      </c>
      <c r="F8" s="7">
        <f>F6+F7+E7+D7+C7</f>
        <v>541565.25733263954</v>
      </c>
      <c r="G8" s="7">
        <f>G6+G7+F7+E7+D7+C7</f>
        <v>479863.46390651941</v>
      </c>
      <c r="H8" s="7">
        <f>H6+H7+G7+F7+E7+D7+C7</f>
        <v>416180.25487767922</v>
      </c>
      <c r="I8" s="7">
        <f>I6+I7</f>
        <v>387829.40105294326</v>
      </c>
      <c r="J8" s="7">
        <f>J6+J7+I7</f>
        <v>363597.79960625217</v>
      </c>
      <c r="K8" s="7">
        <f>K6+K7+J7+I7</f>
        <v>347581.22138955421</v>
      </c>
      <c r="L8" s="7">
        <f>L6+L7+K7+J7+I7</f>
        <v>329741.34785345418</v>
      </c>
      <c r="M8" s="7">
        <f>M6+M7+L7+K7+J7+I7</f>
        <v>297227.79599080724</v>
      </c>
      <c r="N8" s="7">
        <f>N6+N7+M7+L7+K7+J7+I7</f>
        <v>250741.79712718097</v>
      </c>
      <c r="O8" s="7">
        <f>O6+O7</f>
        <v>187453.71761326477</v>
      </c>
      <c r="P8" s="7">
        <f>P6+P7+O7</f>
        <v>137004.86921999173</v>
      </c>
      <c r="Q8" s="7">
        <f>Q6+Q7+P7+O7</f>
        <v>90364.168126852004</v>
      </c>
      <c r="R8" s="7">
        <f>R6+R7+Q7+P7+O7</f>
        <v>67062.040499738374</v>
      </c>
      <c r="S8" s="7">
        <f>S6+S7+R7+Q7+P7+O7</f>
        <v>34590.771288960699</v>
      </c>
      <c r="T8" s="7">
        <f>T6+T7+S7+R7+Q7+P7+O7</f>
        <v>-3.2287061912938952E-11</v>
      </c>
      <c r="U8" s="3" t="s">
        <v>97</v>
      </c>
    </row>
    <row r="9" spans="1:22" x14ac:dyDescent="0.2">
      <c r="B9" s="1"/>
      <c r="C9" s="6"/>
      <c r="D9" s="6"/>
      <c r="E9" s="8"/>
      <c r="F9" s="8"/>
      <c r="G9" s="8"/>
      <c r="H9" s="6"/>
      <c r="I9" s="6"/>
      <c r="J9" s="6"/>
      <c r="K9" s="6"/>
      <c r="L9" s="6"/>
      <c r="M9" s="6"/>
      <c r="N9" s="6"/>
      <c r="O9" s="6"/>
      <c r="P9" s="6"/>
      <c r="Q9" s="8"/>
      <c r="R9" s="3"/>
      <c r="S9" s="3"/>
    </row>
    <row r="10" spans="1:22" x14ac:dyDescent="0.2">
      <c r="B10" s="1"/>
      <c r="C10" s="1"/>
      <c r="D10" s="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spans="1:22" x14ac:dyDescent="0.2"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</row>
    <row r="12" spans="1:22" x14ac:dyDescent="0.2"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22" x14ac:dyDescent="0.2"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spans="1:22" x14ac:dyDescent="0.2">
      <c r="A14" s="9"/>
      <c r="B14" s="6"/>
      <c r="C14" s="2"/>
      <c r="D14" s="2"/>
      <c r="E14" s="2"/>
      <c r="F14" s="2"/>
      <c r="G14" s="2"/>
      <c r="H14" s="2"/>
      <c r="I14" s="2"/>
      <c r="J14" s="2"/>
      <c r="K14" s="2"/>
      <c r="L14" s="10"/>
      <c r="M14" s="10"/>
      <c r="N14" s="10"/>
      <c r="O14" s="10"/>
      <c r="P14" s="10"/>
      <c r="Q14" s="2"/>
    </row>
    <row r="15" spans="1:22" x14ac:dyDescent="0.2">
      <c r="A15" s="9"/>
      <c r="B15" s="7"/>
      <c r="C15" s="2"/>
      <c r="D15" s="2"/>
      <c r="E15" s="2"/>
      <c r="F15" s="2"/>
      <c r="G15" s="2"/>
      <c r="H15" s="2"/>
      <c r="I15" s="2"/>
      <c r="J15" s="2"/>
      <c r="K15" s="2"/>
      <c r="L15" s="2"/>
      <c r="M15" s="10"/>
      <c r="N15" s="2"/>
      <c r="O15" s="2"/>
      <c r="P15" s="2"/>
      <c r="Q15" s="2"/>
    </row>
    <row r="16" spans="1:22" x14ac:dyDescent="0.2">
      <c r="A16" s="85" t="s">
        <v>160</v>
      </c>
      <c r="B16" s="86">
        <f>H8</f>
        <v>416180.25487767922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6" x14ac:dyDescent="0.2">
      <c r="A17" s="87" t="s">
        <v>126</v>
      </c>
      <c r="B17" s="88">
        <f>SUM(I4:T4)</f>
        <v>937599.01199999987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x14ac:dyDescent="0.2">
      <c r="A18" s="87" t="s">
        <v>127</v>
      </c>
      <c r="B18" s="88">
        <f>SUM(I3:T3)</f>
        <v>-1368989.0770600913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x14ac:dyDescent="0.2">
      <c r="A19" s="87" t="s">
        <v>80</v>
      </c>
      <c r="B19" s="89">
        <f>SUM(I7:T7)</f>
        <v>15209.810182412039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x14ac:dyDescent="0.2">
      <c r="A20" s="85" t="s">
        <v>98</v>
      </c>
      <c r="B20" s="90">
        <f>B16+B17+B19+B18</f>
        <v>0</v>
      </c>
      <c r="C20" s="11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x14ac:dyDescent="0.2">
      <c r="A21" s="85"/>
      <c r="B21" s="90"/>
      <c r="C21" s="11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x14ac:dyDescent="0.2">
      <c r="A22" s="91"/>
      <c r="B22" s="92"/>
      <c r="C22" s="2" t="s">
        <v>159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6" ht="13.5" thickBot="1" x14ac:dyDescent="0.25">
      <c r="A23" s="91"/>
      <c r="B23" s="91"/>
      <c r="C23" s="91" t="s">
        <v>161</v>
      </c>
    </row>
    <row r="24" spans="1:16" x14ac:dyDescent="0.2">
      <c r="A24" s="128" t="s">
        <v>91</v>
      </c>
      <c r="B24" s="180"/>
      <c r="C24" s="186">
        <v>6.8900000000000003E-2</v>
      </c>
    </row>
    <row r="25" spans="1:16" ht="13.5" thickBot="1" x14ac:dyDescent="0.25">
      <c r="A25" s="93" t="s">
        <v>92</v>
      </c>
      <c r="B25" s="94"/>
      <c r="C25" s="179">
        <f>C24/12</f>
        <v>5.7416666666666666E-3</v>
      </c>
    </row>
    <row r="31" spans="1:16" ht="15" x14ac:dyDescent="0.25">
      <c r="G31" s="123"/>
    </row>
    <row r="39" spans="2:3" ht="15" x14ac:dyDescent="0.25">
      <c r="B39" s="121"/>
    </row>
    <row r="40" spans="2:3" x14ac:dyDescent="0.2">
      <c r="C40" s="117"/>
    </row>
    <row r="41" spans="2:3" x14ac:dyDescent="0.2">
      <c r="C41" s="120"/>
    </row>
    <row r="42" spans="2:3" x14ac:dyDescent="0.2">
      <c r="C42" s="120"/>
    </row>
  </sheetData>
  <pageMargins left="0.7" right="0.7" top="0.75" bottom="0.75" header="0.3" footer="0.3"/>
  <pageSetup scale="49" orientation="landscape" r:id="rId1"/>
  <headerFooter>
    <oddFooter>&amp;L&amp;F&amp;RPage: &amp;P of &amp;N</oddFooter>
  </headerFooter>
  <customProperties>
    <customPr name="xxe4aPID" r:id="rId2"/>
  </customProperties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6"/>
  <sheetViews>
    <sheetView tabSelected="1" topLeftCell="A15" workbookViewId="0">
      <selection activeCell="T16" sqref="T16"/>
    </sheetView>
  </sheetViews>
  <sheetFormatPr defaultRowHeight="15" x14ac:dyDescent="0.25"/>
  <cols>
    <col min="1" max="1" width="8.28515625" style="17" customWidth="1"/>
    <col min="2" max="2" width="28" style="17" customWidth="1"/>
    <col min="3" max="3" width="8.5703125" style="17" bestFit="1" customWidth="1"/>
    <col min="4" max="19" width="13.42578125" style="17" bestFit="1" customWidth="1"/>
    <col min="20" max="20" width="14.28515625" style="17" bestFit="1" customWidth="1"/>
    <col min="21" max="21" width="12.5703125" style="17" bestFit="1" customWidth="1"/>
    <col min="22" max="16384" width="9.140625" style="17"/>
  </cols>
  <sheetData>
    <row r="1" spans="1:20" x14ac:dyDescent="0.25">
      <c r="A1" s="69" t="s">
        <v>112</v>
      </c>
      <c r="B1" s="69"/>
    </row>
    <row r="4" spans="1:20" x14ac:dyDescent="0.25">
      <c r="A4" s="17" t="s">
        <v>81</v>
      </c>
      <c r="D4" s="70">
        <v>43539</v>
      </c>
      <c r="E4" s="70">
        <v>43570</v>
      </c>
      <c r="F4" s="70">
        <v>43600</v>
      </c>
      <c r="G4" s="70">
        <v>43631</v>
      </c>
      <c r="H4" s="70">
        <v>43662</v>
      </c>
      <c r="I4" s="70">
        <v>43693</v>
      </c>
      <c r="J4" s="70">
        <v>43724</v>
      </c>
      <c r="K4" s="70">
        <v>43754</v>
      </c>
      <c r="L4" s="70">
        <v>43785</v>
      </c>
      <c r="M4" s="70">
        <v>43815</v>
      </c>
      <c r="N4" s="70">
        <v>43846</v>
      </c>
      <c r="O4" s="70">
        <v>43877</v>
      </c>
      <c r="P4" s="70">
        <v>43906</v>
      </c>
      <c r="Q4" s="70">
        <v>43937</v>
      </c>
      <c r="R4" s="70">
        <v>43967</v>
      </c>
      <c r="S4" s="70">
        <v>43998</v>
      </c>
    </row>
    <row r="5" spans="1:20" x14ac:dyDescent="0.25">
      <c r="B5" s="17" t="s">
        <v>129</v>
      </c>
      <c r="D5" s="71">
        <f>'kWh Forecast'!B18</f>
        <v>213189988.19073486</v>
      </c>
      <c r="E5" s="71">
        <f>'kWh Forecast'!C18</f>
        <v>171239526.06262755</v>
      </c>
      <c r="F5" s="71">
        <f>'kWh Forecast'!D18</f>
        <v>156633831.35472667</v>
      </c>
      <c r="G5" s="71">
        <f>'kWh Forecast'!E18</f>
        <v>149456364.57308042</v>
      </c>
      <c r="H5" s="71">
        <f>'kWh Forecast'!F18</f>
        <v>189507782.4924854</v>
      </c>
      <c r="I5" s="71">
        <f>'kWh Forecast'!G18</f>
        <v>181237255.10943425</v>
      </c>
      <c r="J5" s="71">
        <f>'kWh Forecast'!H18</f>
        <v>157509657.90759605</v>
      </c>
      <c r="K5" s="71">
        <f>'kWh Forecast'!I18</f>
        <v>177655073.33967072</v>
      </c>
      <c r="L5" s="71">
        <f>'kWh Forecast'!J18</f>
        <v>226767969.68702835</v>
      </c>
      <c r="M5" s="71">
        <f>'kWh Forecast'!K18</f>
        <v>284367830.52156699</v>
      </c>
      <c r="N5" s="71">
        <f>'kWh Forecast'!L18</f>
        <v>274552124.0877986</v>
      </c>
      <c r="O5" s="71">
        <f>'kWh Forecast'!M18</f>
        <v>224184036.11593747</v>
      </c>
      <c r="P5" s="71">
        <f>'kWh Forecast'!N18</f>
        <v>216125614.92232913</v>
      </c>
      <c r="Q5" s="71">
        <f>'kWh Forecast'!O18</f>
        <v>172859652.87680209</v>
      </c>
      <c r="R5" s="71">
        <f>'kWh Forecast'!P18</f>
        <v>156163072.25753611</v>
      </c>
      <c r="S5" s="71">
        <f>'kWh Forecast'!Q18</f>
        <v>148606138.3070735</v>
      </c>
      <c r="T5" s="73">
        <f>SUM(D5:S5)</f>
        <v>3100055917.8064275</v>
      </c>
    </row>
    <row r="6" spans="1:20" x14ac:dyDescent="0.25">
      <c r="B6" s="17" t="s">
        <v>83</v>
      </c>
      <c r="D6" s="71">
        <f>'kWh Forecast'!B19</f>
        <v>53996794.239434168</v>
      </c>
      <c r="E6" s="71">
        <f>'kWh Forecast'!C19</f>
        <v>47147306.491081983</v>
      </c>
      <c r="F6" s="71">
        <f>'kWh Forecast'!D19</f>
        <v>46784327.459946327</v>
      </c>
      <c r="G6" s="71">
        <f>'kWh Forecast'!E19</f>
        <v>45995023.289910443</v>
      </c>
      <c r="H6" s="71">
        <f>'kWh Forecast'!F19</f>
        <v>55730097.398921236</v>
      </c>
      <c r="I6" s="71">
        <f>'kWh Forecast'!G19</f>
        <v>52439508.911519602</v>
      </c>
      <c r="J6" s="71">
        <f>'kWh Forecast'!H19</f>
        <v>46755389.441763289</v>
      </c>
      <c r="K6" s="71">
        <f>'kWh Forecast'!I19</f>
        <v>49803171.09843725</v>
      </c>
      <c r="L6" s="71">
        <f>'kWh Forecast'!J19</f>
        <v>54640287.518010817</v>
      </c>
      <c r="M6" s="71">
        <f>'kWh Forecast'!K19</f>
        <v>62136234.396373875</v>
      </c>
      <c r="N6" s="71">
        <f>'kWh Forecast'!L19</f>
        <v>61451231.016450562</v>
      </c>
      <c r="O6" s="71">
        <f>'kWh Forecast'!M19</f>
        <v>53294681.055122614</v>
      </c>
      <c r="P6" s="71">
        <f>'kWh Forecast'!N19</f>
        <v>54801839.085874476</v>
      </c>
      <c r="Q6" s="71">
        <f>'kWh Forecast'!O19</f>
        <v>47989201.815350547</v>
      </c>
      <c r="R6" s="71">
        <f>'kWh Forecast'!P19</f>
        <v>47289475.369924441</v>
      </c>
      <c r="S6" s="71">
        <f>'kWh Forecast'!Q19</f>
        <v>46888699.381679296</v>
      </c>
      <c r="T6" s="73">
        <f t="shared" ref="T6:T10" si="0">SUM(D6:S6)</f>
        <v>827143267.96980083</v>
      </c>
    </row>
    <row r="7" spans="1:20" x14ac:dyDescent="0.25">
      <c r="B7" s="17" t="s">
        <v>84</v>
      </c>
      <c r="D7" s="71">
        <f>'kWh Forecast'!B20</f>
        <v>115724794.46222611</v>
      </c>
      <c r="E7" s="71">
        <f>'kWh Forecast'!C20</f>
        <v>107885928.09704651</v>
      </c>
      <c r="F7" s="71">
        <f>'kWh Forecast'!D20</f>
        <v>112569079.08713758</v>
      </c>
      <c r="G7" s="71">
        <f>'kWh Forecast'!E20</f>
        <v>111472365.31745657</v>
      </c>
      <c r="H7" s="71">
        <f>'kWh Forecast'!F20</f>
        <v>131131589.3582869</v>
      </c>
      <c r="I7" s="71">
        <f>'kWh Forecast'!G20</f>
        <v>122691987.06765805</v>
      </c>
      <c r="J7" s="71">
        <f>'kWh Forecast'!H20</f>
        <v>111985720.80826661</v>
      </c>
      <c r="K7" s="71">
        <f>'kWh Forecast'!I20</f>
        <v>117654949.43020649</v>
      </c>
      <c r="L7" s="71">
        <f>'kWh Forecast'!J20</f>
        <v>118120436.70183486</v>
      </c>
      <c r="M7" s="71">
        <f>'kWh Forecast'!K20</f>
        <v>124860688.06149086</v>
      </c>
      <c r="N7" s="71">
        <f>'kWh Forecast'!L20</f>
        <v>121450854.07844979</v>
      </c>
      <c r="O7" s="71">
        <f>'kWh Forecast'!M20</f>
        <v>107463411.13456894</v>
      </c>
      <c r="P7" s="71">
        <f>'kWh Forecast'!N20</f>
        <v>115718843.39810258</v>
      </c>
      <c r="Q7" s="71">
        <f>'kWh Forecast'!O20</f>
        <v>108097799.73802182</v>
      </c>
      <c r="R7" s="71">
        <f>'kWh Forecast'!P20</f>
        <v>112197704.6794636</v>
      </c>
      <c r="S7" s="71">
        <f>'kWh Forecast'!Q20</f>
        <v>112352227.91361593</v>
      </c>
      <c r="T7" s="73">
        <f t="shared" si="0"/>
        <v>1851378379.3338332</v>
      </c>
    </row>
    <row r="8" spans="1:20" x14ac:dyDescent="0.25">
      <c r="B8" s="17" t="s">
        <v>85</v>
      </c>
      <c r="D8" s="71">
        <f>'kWh Forecast'!B21</f>
        <v>92097651.340277776</v>
      </c>
      <c r="E8" s="71">
        <f>'kWh Forecast'!C21</f>
        <v>95221310.400462955</v>
      </c>
      <c r="F8" s="71">
        <f>'kWh Forecast'!D21</f>
        <v>95100347.010513127</v>
      </c>
      <c r="G8" s="71">
        <f>'kWh Forecast'!E21</f>
        <v>96298346.169648603</v>
      </c>
      <c r="H8" s="71">
        <f>'kWh Forecast'!F21</f>
        <v>95172587.893913358</v>
      </c>
      <c r="I8" s="71">
        <f>'kWh Forecast'!G21</f>
        <v>98510934.395586789</v>
      </c>
      <c r="J8" s="71">
        <f>'kWh Forecast'!H21</f>
        <v>99552847.607073128</v>
      </c>
      <c r="K8" s="71">
        <f>'kWh Forecast'!I21</f>
        <v>97226892.899622038</v>
      </c>
      <c r="L8" s="71">
        <f>'kWh Forecast'!J21</f>
        <v>97496206.209099531</v>
      </c>
      <c r="M8" s="71">
        <f>'kWh Forecast'!K21</f>
        <v>94747018.763316929</v>
      </c>
      <c r="N8" s="71">
        <f>'kWh Forecast'!L21</f>
        <v>96078945.644150257</v>
      </c>
      <c r="O8" s="71">
        <f>'kWh Forecast'!M21</f>
        <v>95498894.535757512</v>
      </c>
      <c r="P8" s="71">
        <f>'kWh Forecast'!N21</f>
        <v>93581313.44241634</v>
      </c>
      <c r="Q8" s="71">
        <f>'kWh Forecast'!O21</f>
        <v>96541916.046344131</v>
      </c>
      <c r="R8" s="71">
        <f>'kWh Forecast'!P21</f>
        <v>95760797.43540509</v>
      </c>
      <c r="S8" s="71">
        <f>'kWh Forecast'!Q21</f>
        <v>97284747.611965299</v>
      </c>
      <c r="T8" s="73">
        <f t="shared" si="0"/>
        <v>1536170757.4055529</v>
      </c>
    </row>
    <row r="9" spans="1:20" x14ac:dyDescent="0.25">
      <c r="B9" s="17" t="s">
        <v>86</v>
      </c>
      <c r="D9" s="71">
        <f>'kWh Forecast'!B22</f>
        <v>4880222.5614654934</v>
      </c>
      <c r="E9" s="71">
        <f>'kWh Forecast'!C22</f>
        <v>7812409.5350077404</v>
      </c>
      <c r="F9" s="71">
        <f>'kWh Forecast'!D22</f>
        <v>14167601.775414184</v>
      </c>
      <c r="G9" s="71">
        <f>'kWh Forecast'!E22</f>
        <v>18953843.089707207</v>
      </c>
      <c r="H9" s="71">
        <f>'kWh Forecast'!F22</f>
        <v>26565133.268556431</v>
      </c>
      <c r="I9" s="71">
        <f>'kWh Forecast'!G22</f>
        <v>25736674.258674629</v>
      </c>
      <c r="J9" s="71">
        <f>'kWh Forecast'!H22</f>
        <v>17900667.244817045</v>
      </c>
      <c r="K9" s="71">
        <f>'kWh Forecast'!I22</f>
        <v>9861523.8745956942</v>
      </c>
      <c r="L9" s="71">
        <f>'kWh Forecast'!J22</f>
        <v>4583508.872794155</v>
      </c>
      <c r="M9" s="71">
        <f>'kWh Forecast'!K22</f>
        <v>4022075.2180615584</v>
      </c>
      <c r="N9" s="71">
        <f>'kWh Forecast'!L22</f>
        <v>4079879.2729761228</v>
      </c>
      <c r="O9" s="71">
        <f>'kWh Forecast'!M22</f>
        <v>3920155.3363475641</v>
      </c>
      <c r="P9" s="71">
        <f>'kWh Forecast'!N22</f>
        <v>4923532.9474786492</v>
      </c>
      <c r="Q9" s="71">
        <f>'kWh Forecast'!O22</f>
        <v>7659569.5798094114</v>
      </c>
      <c r="R9" s="71">
        <f>'kWh Forecast'!P22</f>
        <v>13855126.299315881</v>
      </c>
      <c r="S9" s="71">
        <f>'kWh Forecast'!Q22</f>
        <v>19004965.927461538</v>
      </c>
      <c r="T9" s="73">
        <f t="shared" si="0"/>
        <v>187926889.06248328</v>
      </c>
    </row>
    <row r="10" spans="1:20" x14ac:dyDescent="0.25">
      <c r="B10" s="17" t="s">
        <v>87</v>
      </c>
      <c r="D10" s="71">
        <f>'kWh Forecast'!B23</f>
        <v>1244744.6911135332</v>
      </c>
      <c r="E10" s="71">
        <f>'kWh Forecast'!C23</f>
        <v>1228321.4036251963</v>
      </c>
      <c r="F10" s="71">
        <f>'kWh Forecast'!D23</f>
        <v>1181518.1785057436</v>
      </c>
      <c r="G10" s="71">
        <f>'kWh Forecast'!E23</f>
        <v>1071854.8331218716</v>
      </c>
      <c r="H10" s="71">
        <f>'kWh Forecast'!F23</f>
        <v>1219306.1121361735</v>
      </c>
      <c r="I10" s="71">
        <f>'kWh Forecast'!G23</f>
        <v>1138300.4244708719</v>
      </c>
      <c r="J10" s="71">
        <f>'kWh Forecast'!H23</f>
        <v>1135398.8318683293</v>
      </c>
      <c r="K10" s="71">
        <f>'kWh Forecast'!I23</f>
        <v>1146616.7827134524</v>
      </c>
      <c r="L10" s="71">
        <f>'kWh Forecast'!J23</f>
        <v>1058997.0727759385</v>
      </c>
      <c r="M10" s="71">
        <f>'kWh Forecast'!K23</f>
        <v>1154061.7929887162</v>
      </c>
      <c r="N10" s="71">
        <f>'kWh Forecast'!L23</f>
        <v>1163619.7070759824</v>
      </c>
      <c r="O10" s="71">
        <f>'kWh Forecast'!M23</f>
        <v>1044351.2933958977</v>
      </c>
      <c r="P10" s="71">
        <f>'kWh Forecast'!N23</f>
        <v>1015459.7086899638</v>
      </c>
      <c r="Q10" s="71">
        <f>'kWh Forecast'!O23</f>
        <v>999104.97892103519</v>
      </c>
      <c r="R10" s="71">
        <f>'kWh Forecast'!P23</f>
        <v>952176.73300420039</v>
      </c>
      <c r="S10" s="71">
        <f>'kWh Forecast'!Q23</f>
        <v>1079987.7725968692</v>
      </c>
      <c r="T10" s="73">
        <f t="shared" si="0"/>
        <v>17833820.317003772</v>
      </c>
    </row>
    <row r="11" spans="1:20" x14ac:dyDescent="0.25">
      <c r="A11" s="17" t="s">
        <v>88</v>
      </c>
      <c r="D11" s="72">
        <f>SUM(D5:D10)</f>
        <v>481134195.48525196</v>
      </c>
      <c r="E11" s="72">
        <f>SUM(E5:E10)</f>
        <v>430534801.98985189</v>
      </c>
      <c r="F11" s="72">
        <f>SUM(F5:F10)</f>
        <v>426436704.8662436</v>
      </c>
      <c r="G11" s="72">
        <f t="shared" ref="G11:S11" si="1">SUM(G5:G10)</f>
        <v>423247797.27292514</v>
      </c>
      <c r="H11" s="72">
        <f t="shared" si="1"/>
        <v>499326496.5242995</v>
      </c>
      <c r="I11" s="72">
        <f t="shared" si="1"/>
        <v>481754660.16734421</v>
      </c>
      <c r="J11" s="72">
        <f t="shared" si="1"/>
        <v>434839681.84138441</v>
      </c>
      <c r="K11" s="72">
        <f t="shared" si="1"/>
        <v>453348227.42524564</v>
      </c>
      <c r="L11" s="72">
        <f t="shared" si="1"/>
        <v>502667406.06154364</v>
      </c>
      <c r="M11" s="72">
        <f t="shared" si="1"/>
        <v>571287908.75379896</v>
      </c>
      <c r="N11" s="72">
        <f t="shared" si="1"/>
        <v>558776653.80690134</v>
      </c>
      <c r="O11" s="72">
        <f t="shared" si="1"/>
        <v>485405529.47113001</v>
      </c>
      <c r="P11" s="72">
        <f t="shared" si="1"/>
        <v>486166603.50489122</v>
      </c>
      <c r="Q11" s="72">
        <f t="shared" si="1"/>
        <v>434147245.03524911</v>
      </c>
      <c r="R11" s="72">
        <f t="shared" si="1"/>
        <v>426218352.77464926</v>
      </c>
      <c r="S11" s="72">
        <f t="shared" si="1"/>
        <v>425216766.91439247</v>
      </c>
      <c r="T11" s="73">
        <f>SUM(T5:T10)</f>
        <v>7520509031.8951015</v>
      </c>
    </row>
    <row r="12" spans="1:20" x14ac:dyDescent="0.25">
      <c r="D12" s="73"/>
      <c r="E12" s="73"/>
      <c r="F12" s="73"/>
      <c r="G12" s="73"/>
      <c r="H12" s="73">
        <f>H11-'kWh Forecast'!F24</f>
        <v>0</v>
      </c>
      <c r="I12" s="73">
        <f>I11-'kWh Forecast'!G24</f>
        <v>0</v>
      </c>
      <c r="J12" s="73">
        <f>J11-'kWh Forecast'!H24</f>
        <v>0</v>
      </c>
      <c r="K12" s="73">
        <f>K11-'kWh Forecast'!I24</f>
        <v>0</v>
      </c>
      <c r="L12" s="73">
        <f>L11-'kWh Forecast'!J24</f>
        <v>0</v>
      </c>
      <c r="M12" s="73">
        <f>M11-'kWh Forecast'!K24</f>
        <v>0</v>
      </c>
      <c r="N12" s="73">
        <f>N11-'kWh Forecast'!L24</f>
        <v>0</v>
      </c>
      <c r="O12" s="73">
        <f>O11-'kWh Forecast'!M24</f>
        <v>0</v>
      </c>
      <c r="P12" s="73">
        <f>P11-'kWh Forecast'!N24</f>
        <v>0</v>
      </c>
      <c r="Q12" s="73">
        <f>Q11-'kWh Forecast'!O24</f>
        <v>0</v>
      </c>
      <c r="R12" s="73">
        <f>R11-'kWh Forecast'!P24</f>
        <v>0</v>
      </c>
      <c r="S12" s="73">
        <f>S11-'kWh Forecast'!Q24</f>
        <v>0</v>
      </c>
    </row>
    <row r="14" spans="1:20" x14ac:dyDescent="0.25">
      <c r="A14" s="17" t="s">
        <v>100</v>
      </c>
      <c r="D14" s="193" t="s">
        <v>163</v>
      </c>
      <c r="E14" s="194"/>
      <c r="F14" s="194"/>
      <c r="G14" s="195"/>
      <c r="H14" s="193" t="s">
        <v>164</v>
      </c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5"/>
    </row>
    <row r="15" spans="1:20" x14ac:dyDescent="0.25">
      <c r="B15" s="17" t="s">
        <v>129</v>
      </c>
      <c r="D15" s="74">
        <f>'Rate Design'!$D$17</f>
        <v>-3.4000000000000002E-4</v>
      </c>
      <c r="E15" s="74">
        <f>'Rate Design'!$D$17</f>
        <v>-3.4000000000000002E-4</v>
      </c>
      <c r="F15" s="74">
        <f>'Rate Design'!$D$17</f>
        <v>-3.4000000000000002E-4</v>
      </c>
      <c r="G15" s="74">
        <f>'Rate Design'!$D$17</f>
        <v>-3.4000000000000002E-4</v>
      </c>
      <c r="H15" s="74">
        <f>'Rate Design'!$D$16</f>
        <v>-2.5006892028006048E-4</v>
      </c>
      <c r="I15" s="74">
        <f>'Rate Design'!$D$16</f>
        <v>-2.5006892028006048E-4</v>
      </c>
      <c r="J15" s="74">
        <f>'Rate Design'!$D$16</f>
        <v>-2.5006892028006048E-4</v>
      </c>
      <c r="K15" s="74">
        <f>'Rate Design'!$D$16</f>
        <v>-2.5006892028006048E-4</v>
      </c>
      <c r="L15" s="74">
        <f>'Rate Design'!$D$16</f>
        <v>-2.5006892028006048E-4</v>
      </c>
      <c r="M15" s="74">
        <f>'Rate Design'!$D$16</f>
        <v>-2.5006892028006048E-4</v>
      </c>
      <c r="N15" s="74">
        <f>'Rate Design'!$D$16</f>
        <v>-2.5006892028006048E-4</v>
      </c>
      <c r="O15" s="74">
        <f>'Rate Design'!$D$16</f>
        <v>-2.5006892028006048E-4</v>
      </c>
      <c r="P15" s="74">
        <f>'Rate Design'!$D$16</f>
        <v>-2.5006892028006048E-4</v>
      </c>
      <c r="Q15" s="74">
        <f>'Rate Design'!$D$16</f>
        <v>-2.5006892028006048E-4</v>
      </c>
      <c r="R15" s="74">
        <f>'Rate Design'!$D$16</f>
        <v>-2.5006892028006048E-4</v>
      </c>
      <c r="S15" s="74">
        <f>'Rate Design'!$D$16</f>
        <v>-2.5006892028006048E-4</v>
      </c>
    </row>
    <row r="16" spans="1:20" x14ac:dyDescent="0.25">
      <c r="B16" s="17" t="s">
        <v>83</v>
      </c>
      <c r="D16" s="74">
        <f>'Rate Design'!$E$17</f>
        <v>-3.6000000000000002E-4</v>
      </c>
      <c r="E16" s="74">
        <f>'Rate Design'!$E$17</f>
        <v>-3.6000000000000002E-4</v>
      </c>
      <c r="F16" s="74">
        <f>'Rate Design'!$E$17</f>
        <v>-3.6000000000000002E-4</v>
      </c>
      <c r="G16" s="74">
        <f>'Rate Design'!$E$17</f>
        <v>-3.6000000000000002E-4</v>
      </c>
      <c r="H16" s="74">
        <f>'Rate Design'!$E$16</f>
        <v>-2.5109483159021275E-4</v>
      </c>
      <c r="I16" s="74">
        <f>'Rate Design'!$E$16</f>
        <v>-2.5109483159021275E-4</v>
      </c>
      <c r="J16" s="74">
        <f>'Rate Design'!$E$16</f>
        <v>-2.5109483159021275E-4</v>
      </c>
      <c r="K16" s="74">
        <f>'Rate Design'!$E$16</f>
        <v>-2.5109483159021275E-4</v>
      </c>
      <c r="L16" s="74">
        <f>'Rate Design'!$E$16</f>
        <v>-2.5109483159021275E-4</v>
      </c>
      <c r="M16" s="74">
        <f>'Rate Design'!$E$16</f>
        <v>-2.5109483159021275E-4</v>
      </c>
      <c r="N16" s="74">
        <f>'Rate Design'!$E$16</f>
        <v>-2.5109483159021275E-4</v>
      </c>
      <c r="O16" s="74">
        <f>'Rate Design'!$E$16</f>
        <v>-2.5109483159021275E-4</v>
      </c>
      <c r="P16" s="74">
        <f>'Rate Design'!$E$16</f>
        <v>-2.5109483159021275E-4</v>
      </c>
      <c r="Q16" s="74">
        <f>'Rate Design'!$E$16</f>
        <v>-2.5109483159021275E-4</v>
      </c>
      <c r="R16" s="74">
        <f>'Rate Design'!$E$16</f>
        <v>-2.5109483159021275E-4</v>
      </c>
      <c r="S16" s="74">
        <f>'Rate Design'!$E$16</f>
        <v>-2.5109483159021275E-4</v>
      </c>
    </row>
    <row r="17" spans="1:21" x14ac:dyDescent="0.25">
      <c r="B17" s="17" t="s">
        <v>84</v>
      </c>
      <c r="D17" s="74">
        <f>'Rate Design'!$F$17</f>
        <v>-3.6000000000000002E-4</v>
      </c>
      <c r="E17" s="74">
        <f>'Rate Design'!$F$17</f>
        <v>-3.6000000000000002E-4</v>
      </c>
      <c r="F17" s="74">
        <f>'Rate Design'!$F$17</f>
        <v>-3.6000000000000002E-4</v>
      </c>
      <c r="G17" s="74">
        <f>'Rate Design'!$F$17</f>
        <v>-3.6000000000000002E-4</v>
      </c>
      <c r="H17" s="74">
        <f>'Rate Design'!$F$16</f>
        <v>-2.5570379479185427E-4</v>
      </c>
      <c r="I17" s="74">
        <f>'Rate Design'!$F$16</f>
        <v>-2.5570379479185427E-4</v>
      </c>
      <c r="J17" s="74">
        <f>'Rate Design'!$F$16</f>
        <v>-2.5570379479185427E-4</v>
      </c>
      <c r="K17" s="74">
        <f>'Rate Design'!$F$16</f>
        <v>-2.5570379479185427E-4</v>
      </c>
      <c r="L17" s="74">
        <f>'Rate Design'!$F$16</f>
        <v>-2.5570379479185427E-4</v>
      </c>
      <c r="M17" s="74">
        <f>'Rate Design'!$F$16</f>
        <v>-2.5570379479185427E-4</v>
      </c>
      <c r="N17" s="74">
        <f>'Rate Design'!$F$16</f>
        <v>-2.5570379479185427E-4</v>
      </c>
      <c r="O17" s="74">
        <f>'Rate Design'!$F$16</f>
        <v>-2.5570379479185427E-4</v>
      </c>
      <c r="P17" s="74">
        <f>'Rate Design'!$F$16</f>
        <v>-2.5570379479185427E-4</v>
      </c>
      <c r="Q17" s="74">
        <f>'Rate Design'!$F$16</f>
        <v>-2.5570379479185427E-4</v>
      </c>
      <c r="R17" s="74">
        <f>'Rate Design'!$F$16</f>
        <v>-2.5570379479185427E-4</v>
      </c>
      <c r="S17" s="74">
        <f>'Rate Design'!$F$16</f>
        <v>-2.5570379479185427E-4</v>
      </c>
    </row>
    <row r="18" spans="1:21" x14ac:dyDescent="0.25">
      <c r="B18" s="17" t="s">
        <v>85</v>
      </c>
      <c r="D18" s="74">
        <f>'Rate Design'!$G$17</f>
        <v>-3.5E-4</v>
      </c>
      <c r="E18" s="74">
        <f>'Rate Design'!$G$17</f>
        <v>-3.5E-4</v>
      </c>
      <c r="F18" s="74">
        <f>'Rate Design'!$G$17</f>
        <v>-3.5E-4</v>
      </c>
      <c r="G18" s="74">
        <f>'Rate Design'!$G$17</f>
        <v>-3.5E-4</v>
      </c>
      <c r="H18" s="74">
        <f>'Rate Design'!$G$16</f>
        <v>-2.3808876572139383E-4</v>
      </c>
      <c r="I18" s="74">
        <f>'Rate Design'!$G$16</f>
        <v>-2.3808876572139383E-4</v>
      </c>
      <c r="J18" s="74">
        <f>'Rate Design'!$G$16</f>
        <v>-2.3808876572139383E-4</v>
      </c>
      <c r="K18" s="74">
        <f>'Rate Design'!$G$16</f>
        <v>-2.3808876572139383E-4</v>
      </c>
      <c r="L18" s="74">
        <f>'Rate Design'!$G$16</f>
        <v>-2.3808876572139383E-4</v>
      </c>
      <c r="M18" s="74">
        <f>'Rate Design'!$G$16</f>
        <v>-2.3808876572139383E-4</v>
      </c>
      <c r="N18" s="74">
        <f>'Rate Design'!$G$16</f>
        <v>-2.3808876572139383E-4</v>
      </c>
      <c r="O18" s="74">
        <f>'Rate Design'!$G$16</f>
        <v>-2.3808876572139383E-4</v>
      </c>
      <c r="P18" s="74">
        <f>'Rate Design'!$G$16</f>
        <v>-2.3808876572139383E-4</v>
      </c>
      <c r="Q18" s="74">
        <f>'Rate Design'!$G$16</f>
        <v>-2.3808876572139383E-4</v>
      </c>
      <c r="R18" s="74">
        <f>'Rate Design'!$G$16</f>
        <v>-2.3808876572139383E-4</v>
      </c>
      <c r="S18" s="74">
        <f>'Rate Design'!$G$16</f>
        <v>-2.3808876572139383E-4</v>
      </c>
    </row>
    <row r="19" spans="1:21" x14ac:dyDescent="0.25">
      <c r="B19" s="17" t="s">
        <v>86</v>
      </c>
      <c r="D19" s="74">
        <f>'Rate Design'!$H$17</f>
        <v>-3.73973550003965E-4</v>
      </c>
      <c r="E19" s="74">
        <f>'Rate Design'!$H$17</f>
        <v>-3.73973550003965E-4</v>
      </c>
      <c r="F19" s="74">
        <f>'Rate Design'!$H$17</f>
        <v>-3.73973550003965E-4</v>
      </c>
      <c r="G19" s="74">
        <f>'Rate Design'!$H$17</f>
        <v>-3.73973550003965E-4</v>
      </c>
      <c r="H19" s="74">
        <f>'Rate Design'!$H$16</f>
        <v>-2.3964425456273652E-4</v>
      </c>
      <c r="I19" s="74">
        <f>'Rate Design'!$H$16</f>
        <v>-2.3964425456273652E-4</v>
      </c>
      <c r="J19" s="74">
        <f>'Rate Design'!$H$16</f>
        <v>-2.3964425456273652E-4</v>
      </c>
      <c r="K19" s="74">
        <f>'Rate Design'!$H$16</f>
        <v>-2.3964425456273652E-4</v>
      </c>
      <c r="L19" s="74">
        <f>'Rate Design'!$H$16</f>
        <v>-2.3964425456273652E-4</v>
      </c>
      <c r="M19" s="74">
        <f>'Rate Design'!$H$16</f>
        <v>-2.3964425456273652E-4</v>
      </c>
      <c r="N19" s="74">
        <f>'Rate Design'!$H$16</f>
        <v>-2.3964425456273652E-4</v>
      </c>
      <c r="O19" s="74">
        <f>'Rate Design'!$H$16</f>
        <v>-2.3964425456273652E-4</v>
      </c>
      <c r="P19" s="74">
        <f>'Rate Design'!$H$16</f>
        <v>-2.3964425456273652E-4</v>
      </c>
      <c r="Q19" s="74">
        <f>'Rate Design'!$H$16</f>
        <v>-2.3964425456273652E-4</v>
      </c>
      <c r="R19" s="74">
        <f>'Rate Design'!$H$16</f>
        <v>-2.3964425456273652E-4</v>
      </c>
      <c r="S19" s="74">
        <f>'Rate Design'!$H$16</f>
        <v>-2.3964425456273652E-4</v>
      </c>
    </row>
    <row r="20" spans="1:21" x14ac:dyDescent="0.25">
      <c r="B20" s="17" t="s">
        <v>87</v>
      </c>
      <c r="D20" s="74">
        <f>'Rate Design'!$I$17</f>
        <v>-4.8000000000000001E-4</v>
      </c>
      <c r="E20" s="74">
        <f>'Rate Design'!$I$17</f>
        <v>-4.8000000000000001E-4</v>
      </c>
      <c r="F20" s="74">
        <f>'Rate Design'!$I$17</f>
        <v>-4.8000000000000001E-4</v>
      </c>
      <c r="G20" s="74">
        <f>'Rate Design'!$I$17</f>
        <v>-4.8000000000000001E-4</v>
      </c>
      <c r="H20" s="74">
        <f>'Rate Design'!$I$16</f>
        <v>-4.5001619323877337E-4</v>
      </c>
      <c r="I20" s="74">
        <f>'Rate Design'!$I$16</f>
        <v>-4.5001619323877337E-4</v>
      </c>
      <c r="J20" s="74">
        <f>'Rate Design'!$I$16</f>
        <v>-4.5001619323877337E-4</v>
      </c>
      <c r="K20" s="74">
        <f>'Rate Design'!$I$16</f>
        <v>-4.5001619323877337E-4</v>
      </c>
      <c r="L20" s="74">
        <f>'Rate Design'!$I$16</f>
        <v>-4.5001619323877337E-4</v>
      </c>
      <c r="M20" s="74">
        <f>'Rate Design'!$I$16</f>
        <v>-4.5001619323877337E-4</v>
      </c>
      <c r="N20" s="74">
        <f>'Rate Design'!$I$16</f>
        <v>-4.5001619323877337E-4</v>
      </c>
      <c r="O20" s="74">
        <f>'Rate Design'!$I$16</f>
        <v>-4.5001619323877337E-4</v>
      </c>
      <c r="P20" s="74">
        <f>'Rate Design'!$I$16</f>
        <v>-4.5001619323877337E-4</v>
      </c>
      <c r="Q20" s="74">
        <f>'Rate Design'!$I$16</f>
        <v>-4.5001619323877337E-4</v>
      </c>
      <c r="R20" s="74">
        <f>'Rate Design'!$I$16</f>
        <v>-4.5001619323877337E-4</v>
      </c>
      <c r="S20" s="74">
        <f>'Rate Design'!$I$16</f>
        <v>-4.5001619323877337E-4</v>
      </c>
    </row>
    <row r="21" spans="1:21" x14ac:dyDescent="0.25"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</row>
    <row r="23" spans="1:21" x14ac:dyDescent="0.25">
      <c r="A23" s="17" t="s">
        <v>99</v>
      </c>
      <c r="D23" s="70">
        <f>D4</f>
        <v>43539</v>
      </c>
      <c r="E23" s="70">
        <f t="shared" ref="E23:S23" si="2">E4</f>
        <v>43570</v>
      </c>
      <c r="F23" s="70">
        <f t="shared" si="2"/>
        <v>43600</v>
      </c>
      <c r="G23" s="70">
        <f t="shared" si="2"/>
        <v>43631</v>
      </c>
      <c r="H23" s="70">
        <f t="shared" si="2"/>
        <v>43662</v>
      </c>
      <c r="I23" s="70">
        <f t="shared" si="2"/>
        <v>43693</v>
      </c>
      <c r="J23" s="70">
        <f t="shared" si="2"/>
        <v>43724</v>
      </c>
      <c r="K23" s="70">
        <f t="shared" si="2"/>
        <v>43754</v>
      </c>
      <c r="L23" s="70">
        <f t="shared" si="2"/>
        <v>43785</v>
      </c>
      <c r="M23" s="70">
        <f t="shared" si="2"/>
        <v>43815</v>
      </c>
      <c r="N23" s="70">
        <f t="shared" si="2"/>
        <v>43846</v>
      </c>
      <c r="O23" s="70">
        <f t="shared" si="2"/>
        <v>43877</v>
      </c>
      <c r="P23" s="70">
        <f t="shared" si="2"/>
        <v>43906</v>
      </c>
      <c r="Q23" s="70">
        <f t="shared" si="2"/>
        <v>43937</v>
      </c>
      <c r="R23" s="70">
        <f t="shared" si="2"/>
        <v>43967</v>
      </c>
      <c r="S23" s="70">
        <f t="shared" si="2"/>
        <v>43998</v>
      </c>
    </row>
    <row r="24" spans="1:21" x14ac:dyDescent="0.25">
      <c r="B24" s="17" t="s">
        <v>82</v>
      </c>
      <c r="D24" s="76">
        <f>D5*D15</f>
        <v>-72484.595984849861</v>
      </c>
      <c r="E24" s="76">
        <f>E5*E15</f>
        <v>-58221.438861293369</v>
      </c>
      <c r="F24" s="76">
        <f>F5*F15</f>
        <v>-53255.502660607075</v>
      </c>
      <c r="G24" s="76">
        <f t="shared" ref="G24:S28" si="3">G5*G15</f>
        <v>-50815.163954847347</v>
      </c>
      <c r="H24" s="76">
        <f t="shared" si="3"/>
        <v>-47390.006552564373</v>
      </c>
      <c r="I24" s="76">
        <f t="shared" si="3"/>
        <v>-45321.804699738095</v>
      </c>
      <c r="J24" s="76">
        <f t="shared" si="3"/>
        <v>-39388.270086634235</v>
      </c>
      <c r="K24" s="76">
        <f t="shared" si="3"/>
        <v>-44426.012372326411</v>
      </c>
      <c r="L24" s="76">
        <f t="shared" si="3"/>
        <v>-56707.621333736664</v>
      </c>
      <c r="M24" s="76">
        <f t="shared" si="3"/>
        <v>-71111.556340911484</v>
      </c>
      <c r="N24" s="76">
        <f t="shared" si="3"/>
        <v>-68656.953231232983</v>
      </c>
      <c r="O24" s="76">
        <f t="shared" si="3"/>
        <v>-56061.459855538567</v>
      </c>
      <c r="P24" s="76">
        <f t="shared" si="3"/>
        <v>-54046.299168490972</v>
      </c>
      <c r="Q24" s="76">
        <f t="shared" si="3"/>
        <v>-43226.826754887952</v>
      </c>
      <c r="R24" s="76">
        <f t="shared" si="3"/>
        <v>-39051.530867059126</v>
      </c>
      <c r="S24" s="76">
        <f t="shared" si="3"/>
        <v>-37161.776553439209</v>
      </c>
    </row>
    <row r="25" spans="1:21" x14ac:dyDescent="0.25">
      <c r="B25" s="17" t="s">
        <v>83</v>
      </c>
      <c r="D25" s="76">
        <f>D6*D16</f>
        <v>-19438.8459261963</v>
      </c>
      <c r="E25" s="76">
        <f t="shared" ref="E25:F28" si="4">E6*E16</f>
        <v>-16973.030336789514</v>
      </c>
      <c r="F25" s="76">
        <f t="shared" si="4"/>
        <v>-16842.357885580677</v>
      </c>
      <c r="G25" s="76">
        <f t="shared" si="3"/>
        <v>-16558.208384367761</v>
      </c>
      <c r="H25" s="76">
        <f t="shared" si="3"/>
        <v>-13993.539420888281</v>
      </c>
      <c r="I25" s="76">
        <f t="shared" si="3"/>
        <v>-13167.289658811475</v>
      </c>
      <c r="J25" s="76">
        <f t="shared" si="3"/>
        <v>-11740.036637814364</v>
      </c>
      <c r="K25" s="76">
        <f t="shared" si="3"/>
        <v>-12505.318859620653</v>
      </c>
      <c r="L25" s="76">
        <f t="shared" si="3"/>
        <v>-13719.893792375729</v>
      </c>
      <c r="M25" s="76">
        <f t="shared" si="3"/>
        <v>-15602.087311407484</v>
      </c>
      <c r="N25" s="76">
        <f t="shared" si="3"/>
        <v>-15430.086503086912</v>
      </c>
      <c r="O25" s="76">
        <f t="shared" si="3"/>
        <v>-13382.018964190114</v>
      </c>
      <c r="P25" s="76">
        <f t="shared" si="3"/>
        <v>-13760.45855610159</v>
      </c>
      <c r="Q25" s="76">
        <f t="shared" si="3"/>
        <v>-12049.840547974178</v>
      </c>
      <c r="R25" s="76">
        <f t="shared" si="3"/>
        <v>-11874.142854000691</v>
      </c>
      <c r="S25" s="76">
        <f t="shared" si="3"/>
        <v>-11773.510074726875</v>
      </c>
    </row>
    <row r="26" spans="1:21" x14ac:dyDescent="0.25">
      <c r="B26" s="17" t="s">
        <v>84</v>
      </c>
      <c r="D26" s="76">
        <f>D7*D17</f>
        <v>-41660.926006401402</v>
      </c>
      <c r="E26" s="76">
        <f t="shared" si="4"/>
        <v>-38838.934114936746</v>
      </c>
      <c r="F26" s="76">
        <f t="shared" si="4"/>
        <v>-40524.868471369533</v>
      </c>
      <c r="G26" s="76">
        <f t="shared" si="3"/>
        <v>-40130.051514284372</v>
      </c>
      <c r="H26" s="76">
        <f t="shared" si="3"/>
        <v>-33530.845016001098</v>
      </c>
      <c r="I26" s="76">
        <f t="shared" si="3"/>
        <v>-31372.806683753271</v>
      </c>
      <c r="J26" s="76">
        <f t="shared" si="3"/>
        <v>-28635.173773174891</v>
      </c>
      <c r="K26" s="76">
        <f t="shared" si="3"/>
        <v>-30084.81704534751</v>
      </c>
      <c r="L26" s="76">
        <f t="shared" si="3"/>
        <v>-30203.843907130191</v>
      </c>
      <c r="M26" s="76">
        <f t="shared" si="3"/>
        <v>-31927.351757645189</v>
      </c>
      <c r="N26" s="76">
        <f t="shared" si="3"/>
        <v>-31055.444268571362</v>
      </c>
      <c r="O26" s="76">
        <f t="shared" si="3"/>
        <v>-27478.802028386483</v>
      </c>
      <c r="P26" s="76">
        <f t="shared" si="3"/>
        <v>-29589.747385819141</v>
      </c>
      <c r="Q26" s="76">
        <f t="shared" si="3"/>
        <v>-27641.01760166209</v>
      </c>
      <c r="R26" s="76">
        <f t="shared" si="3"/>
        <v>-28689.378853474627</v>
      </c>
      <c r="S26" s="76">
        <f t="shared" si="3"/>
        <v>-28728.891030830888</v>
      </c>
    </row>
    <row r="27" spans="1:21" x14ac:dyDescent="0.25">
      <c r="B27" s="17" t="s">
        <v>85</v>
      </c>
      <c r="D27" s="76">
        <f>D8*D18</f>
        <v>-32234.177969097222</v>
      </c>
      <c r="E27" s="76">
        <f t="shared" si="4"/>
        <v>-33327.458640162033</v>
      </c>
      <c r="F27" s="76">
        <f t="shared" si="4"/>
        <v>-33285.121453679596</v>
      </c>
      <c r="G27" s="76">
        <f t="shared" si="3"/>
        <v>-33704.421159377009</v>
      </c>
      <c r="H27" s="76">
        <f t="shared" si="3"/>
        <v>-22659.523982172701</v>
      </c>
      <c r="I27" s="76">
        <f t="shared" si="3"/>
        <v>-23454.34678030646</v>
      </c>
      <c r="J27" s="76">
        <f t="shared" si="3"/>
        <v>-23702.414610818058</v>
      </c>
      <c r="K27" s="76">
        <f t="shared" si="3"/>
        <v>-23148.630925397159</v>
      </c>
      <c r="L27" s="76">
        <f t="shared" si="3"/>
        <v>-23212.751398843</v>
      </c>
      <c r="M27" s="76">
        <f t="shared" si="3"/>
        <v>-22558.20075313987</v>
      </c>
      <c r="N27" s="76">
        <f t="shared" si="3"/>
        <v>-22875.317580228624</v>
      </c>
      <c r="O27" s="76">
        <f t="shared" si="3"/>
        <v>-22737.213927776069</v>
      </c>
      <c r="P27" s="76">
        <f t="shared" si="3"/>
        <v>-22280.659412091787</v>
      </c>
      <c r="Q27" s="76">
        <f t="shared" si="3"/>
        <v>-22985.545631852499</v>
      </c>
      <c r="R27" s="76">
        <f t="shared" si="3"/>
        <v>-22799.570065892014</v>
      </c>
      <c r="S27" s="76">
        <f t="shared" si="3"/>
        <v>-23162.405482450133</v>
      </c>
    </row>
    <row r="28" spans="1:21" x14ac:dyDescent="0.25">
      <c r="B28" s="17" t="s">
        <v>86</v>
      </c>
      <c r="D28" s="76">
        <f>D9*D19</f>
        <v>-1825.0741561206939</v>
      </c>
      <c r="E28" s="76">
        <f t="shared" si="4"/>
        <v>-2921.6345278916701</v>
      </c>
      <c r="F28" s="76">
        <f t="shared" si="4"/>
        <v>-5298.3083309941194</v>
      </c>
      <c r="G28" s="76">
        <f t="shared" si="3"/>
        <v>-7088.2359864759246</v>
      </c>
      <c r="H28" s="76">
        <f t="shared" si="3"/>
        <v>-6366.1815595029584</v>
      </c>
      <c r="I28" s="76">
        <f t="shared" si="3"/>
        <v>-6167.6461176440507</v>
      </c>
      <c r="J28" s="76">
        <f t="shared" si="3"/>
        <v>-4289.7920580597747</v>
      </c>
      <c r="K28" s="76">
        <f t="shared" si="3"/>
        <v>-2363.2575377801145</v>
      </c>
      <c r="L28" s="76">
        <f t="shared" si="3"/>
        <v>-1098.411567102444</v>
      </c>
      <c r="M28" s="76">
        <f t="shared" si="3"/>
        <v>-963.86721742761813</v>
      </c>
      <c r="N28" s="76">
        <f t="shared" si="3"/>
        <v>-977.71962707832233</v>
      </c>
      <c r="O28" s="76">
        <f t="shared" si="3"/>
        <v>-939.44270334914563</v>
      </c>
      <c r="P28" s="76">
        <f t="shared" si="3"/>
        <v>-1179.8963830135938</v>
      </c>
      <c r="Q28" s="76">
        <f t="shared" si="3"/>
        <v>-1835.5718422248394</v>
      </c>
      <c r="R28" s="76">
        <f t="shared" si="3"/>
        <v>-3320.3014138721205</v>
      </c>
      <c r="S28" s="76">
        <f t="shared" si="3"/>
        <v>-4554.4308926767271</v>
      </c>
    </row>
    <row r="29" spans="1:21" x14ac:dyDescent="0.25">
      <c r="B29" s="17" t="s">
        <v>87</v>
      </c>
      <c r="D29" s="76">
        <f>D10*D20</f>
        <v>-597.47745173449596</v>
      </c>
      <c r="E29" s="76">
        <f t="shared" ref="E29:S29" si="5">E10*E20</f>
        <v>-589.5942737400942</v>
      </c>
      <c r="F29" s="76">
        <f t="shared" si="5"/>
        <v>-567.12872568275691</v>
      </c>
      <c r="G29" s="76">
        <f t="shared" si="5"/>
        <v>-514.49031989849834</v>
      </c>
      <c r="H29" s="76">
        <f t="shared" si="5"/>
        <v>-548.70749497628969</v>
      </c>
      <c r="I29" s="76">
        <f t="shared" si="5"/>
        <v>-512.25362378246166</v>
      </c>
      <c r="J29" s="76">
        <f t="shared" si="5"/>
        <v>-510.94786012513566</v>
      </c>
      <c r="K29" s="76">
        <f t="shared" si="5"/>
        <v>-515.99611966039754</v>
      </c>
      <c r="L29" s="76">
        <f t="shared" si="5"/>
        <v>-476.56583134163208</v>
      </c>
      <c r="M29" s="76">
        <f t="shared" si="5"/>
        <v>-519.34649484309534</v>
      </c>
      <c r="N29" s="76">
        <f t="shared" si="5"/>
        <v>-523.64771095595017</v>
      </c>
      <c r="O29" s="76">
        <f t="shared" si="5"/>
        <v>-469.97499345801123</v>
      </c>
      <c r="P29" s="76">
        <f t="shared" si="5"/>
        <v>-456.97331249201125</v>
      </c>
      <c r="Q29" s="76">
        <f t="shared" si="5"/>
        <v>-449.61341925994918</v>
      </c>
      <c r="R29" s="76">
        <f t="shared" si="5"/>
        <v>-428.49494867708216</v>
      </c>
      <c r="S29" s="76">
        <f t="shared" si="5"/>
        <v>-486.01198616846511</v>
      </c>
    </row>
    <row r="30" spans="1:21" x14ac:dyDescent="0.25">
      <c r="B30" s="17" t="s">
        <v>0</v>
      </c>
      <c r="D30" s="76">
        <f t="shared" ref="D30:S30" si="6">SUM(D24:D29)</f>
        <v>-168241.09749439996</v>
      </c>
      <c r="E30" s="76">
        <f t="shared" si="6"/>
        <v>-150872.09075481346</v>
      </c>
      <c r="F30" s="76">
        <f t="shared" si="6"/>
        <v>-149773.28752791378</v>
      </c>
      <c r="G30" s="76">
        <f t="shared" si="6"/>
        <v>-148810.57131925088</v>
      </c>
      <c r="H30" s="76">
        <f t="shared" si="6"/>
        <v>-124488.8040261057</v>
      </c>
      <c r="I30" s="76">
        <f t="shared" si="6"/>
        <v>-119996.14756403581</v>
      </c>
      <c r="J30" s="76">
        <f t="shared" si="6"/>
        <v>-108266.63502662645</v>
      </c>
      <c r="K30" s="76">
        <f t="shared" si="6"/>
        <v>-113044.03286013224</v>
      </c>
      <c r="L30" s="76">
        <f t="shared" si="6"/>
        <v>-125419.08783052968</v>
      </c>
      <c r="M30" s="76">
        <f t="shared" si="6"/>
        <v>-142682.40987537475</v>
      </c>
      <c r="N30" s="76">
        <f t="shared" si="6"/>
        <v>-139519.16892115417</v>
      </c>
      <c r="O30" s="76">
        <f t="shared" si="6"/>
        <v>-121068.9124726984</v>
      </c>
      <c r="P30" s="76">
        <f t="shared" si="6"/>
        <v>-121314.0342180091</v>
      </c>
      <c r="Q30" s="76">
        <f t="shared" si="6"/>
        <v>-108188.4157978615</v>
      </c>
      <c r="R30" s="76">
        <f t="shared" si="6"/>
        <v>-106163.41900297564</v>
      </c>
      <c r="S30" s="76">
        <f t="shared" si="6"/>
        <v>-105867.02602029229</v>
      </c>
      <c r="U30" s="77">
        <f>SUM(H30:S30)-'7-2019 thru 6-2020 RECs'!E27</f>
        <v>0</v>
      </c>
    </row>
    <row r="32" spans="1:21" ht="36" customHeight="1" x14ac:dyDescent="0.25">
      <c r="A32" s="17" t="s">
        <v>130</v>
      </c>
      <c r="B32" s="163"/>
      <c r="C32" s="187">
        <f>'CF WA Elec'!E19</f>
        <v>0.95332300000000003</v>
      </c>
      <c r="D32" s="70">
        <f>D4</f>
        <v>43539</v>
      </c>
      <c r="E32" s="70">
        <f t="shared" ref="E32:R32" si="7">E4</f>
        <v>43570</v>
      </c>
      <c r="F32" s="70">
        <f t="shared" si="7"/>
        <v>43600</v>
      </c>
      <c r="G32" s="70">
        <f t="shared" si="7"/>
        <v>43631</v>
      </c>
      <c r="H32" s="70">
        <f t="shared" si="7"/>
        <v>43662</v>
      </c>
      <c r="I32" s="70">
        <f t="shared" si="7"/>
        <v>43693</v>
      </c>
      <c r="J32" s="70">
        <f t="shared" si="7"/>
        <v>43724</v>
      </c>
      <c r="K32" s="70">
        <f t="shared" si="7"/>
        <v>43754</v>
      </c>
      <c r="L32" s="70">
        <f t="shared" si="7"/>
        <v>43785</v>
      </c>
      <c r="M32" s="70">
        <f t="shared" si="7"/>
        <v>43815</v>
      </c>
      <c r="N32" s="70">
        <f t="shared" si="7"/>
        <v>43846</v>
      </c>
      <c r="O32" s="70">
        <f t="shared" si="7"/>
        <v>43877</v>
      </c>
      <c r="P32" s="70">
        <f t="shared" si="7"/>
        <v>43906</v>
      </c>
      <c r="Q32" s="70">
        <f t="shared" si="7"/>
        <v>43937</v>
      </c>
      <c r="R32" s="70">
        <f t="shared" si="7"/>
        <v>43967</v>
      </c>
      <c r="S32" s="70">
        <f>S4</f>
        <v>43998</v>
      </c>
    </row>
    <row r="33" spans="2:21" x14ac:dyDescent="0.25">
      <c r="B33" s="17" t="s">
        <v>82</v>
      </c>
      <c r="D33" s="76">
        <f>D24*$C$32</f>
        <v>-69101.23249806503</v>
      </c>
      <c r="E33" s="76">
        <f>E24*$C$32</f>
        <v>-55503.83675956478</v>
      </c>
      <c r="F33" s="76">
        <f>F24*$C$32</f>
        <v>-50769.695562917921</v>
      </c>
      <c r="G33" s="76">
        <f t="shared" ref="G33:S38" si="8">G24*$C$32</f>
        <v>-48443.264546926941</v>
      </c>
      <c r="H33" s="76">
        <f>H24*$C$32</f>
        <v>-45177.98321671033</v>
      </c>
      <c r="I33" s="76">
        <f t="shared" si="8"/>
        <v>-43206.318821768422</v>
      </c>
      <c r="J33" s="76">
        <f t="shared" si="8"/>
        <v>-37549.743803800411</v>
      </c>
      <c r="K33" s="76">
        <f t="shared" si="8"/>
        <v>-42352.339392823334</v>
      </c>
      <c r="L33" s="76">
        <f t="shared" si="8"/>
        <v>-54060.67969274184</v>
      </c>
      <c r="M33" s="76">
        <f t="shared" si="8"/>
        <v>-67792.282225586765</v>
      </c>
      <c r="N33" s="76">
        <f t="shared" si="8"/>
        <v>-65452.252625258727</v>
      </c>
      <c r="O33" s="76">
        <f t="shared" si="8"/>
        <v>-53444.679093861596</v>
      </c>
      <c r="P33" s="76">
        <f t="shared" si="8"/>
        <v>-51523.58006220332</v>
      </c>
      <c r="Q33" s="76">
        <f t="shared" si="8"/>
        <v>-41209.128162450048</v>
      </c>
      <c r="R33" s="76">
        <f t="shared" si="8"/>
        <v>-37228.722560777409</v>
      </c>
      <c r="S33" s="76">
        <f t="shared" si="8"/>
        <v>-35427.176309254326</v>
      </c>
    </row>
    <row r="34" spans="2:21" x14ac:dyDescent="0.25">
      <c r="B34" s="17" t="s">
        <v>83</v>
      </c>
      <c r="D34" s="76">
        <f>D25*$C$32</f>
        <v>-18531.498914899235</v>
      </c>
      <c r="E34" s="76">
        <f t="shared" ref="E34:F38" si="9">E25*$C$32</f>
        <v>-16180.780199759191</v>
      </c>
      <c r="F34" s="76">
        <f t="shared" si="9"/>
        <v>-16056.207146555429</v>
      </c>
      <c r="G34" s="76">
        <f t="shared" si="8"/>
        <v>-15785.320891610627</v>
      </c>
      <c r="H34" s="76">
        <f t="shared" si="8"/>
        <v>-13340.362981339478</v>
      </c>
      <c r="I34" s="76">
        <f t="shared" si="8"/>
        <v>-12552.680079407131</v>
      </c>
      <c r="J34" s="76">
        <f t="shared" si="8"/>
        <v>-11192.046947671104</v>
      </c>
      <c r="K34" s="76">
        <f t="shared" si="8"/>
        <v>-11921.608091210141</v>
      </c>
      <c r="L34" s="76">
        <f t="shared" si="8"/>
        <v>-13079.490309829009</v>
      </c>
      <c r="M34" s="76">
        <f t="shared" si="8"/>
        <v>-14873.828681972916</v>
      </c>
      <c r="N34" s="76">
        <f t="shared" si="8"/>
        <v>-14709.856355382324</v>
      </c>
      <c r="O34" s="76">
        <f t="shared" si="8"/>
        <v>-12757.386464998614</v>
      </c>
      <c r="P34" s="76">
        <f t="shared" si="8"/>
        <v>-13118.161632078436</v>
      </c>
      <c r="Q34" s="76">
        <f t="shared" si="8"/>
        <v>-11487.390140716387</v>
      </c>
      <c r="R34" s="76">
        <f t="shared" si="8"/>
        <v>-11319.893488004502</v>
      </c>
      <c r="S34" s="76">
        <f t="shared" si="8"/>
        <v>-11223.95794496885</v>
      </c>
    </row>
    <row r="35" spans="2:21" x14ac:dyDescent="0.25">
      <c r="B35" s="17" t="s">
        <v>84</v>
      </c>
      <c r="D35" s="76">
        <f>D26*$C$32</f>
        <v>-39716.318963200603</v>
      </c>
      <c r="E35" s="76">
        <f t="shared" si="9"/>
        <v>-37026.049187253848</v>
      </c>
      <c r="F35" s="76">
        <f t="shared" si="9"/>
        <v>-38633.289185731417</v>
      </c>
      <c r="G35" s="76">
        <f t="shared" si="8"/>
        <v>-38256.901099752125</v>
      </c>
      <c r="H35" s="76">
        <f t="shared" si="8"/>
        <v>-31965.725763189217</v>
      </c>
      <c r="I35" s="76">
        <f t="shared" si="8"/>
        <v>-29908.418186175721</v>
      </c>
      <c r="J35" s="76">
        <f t="shared" si="8"/>
        <v>-27298.569766964407</v>
      </c>
      <c r="K35" s="76">
        <f t="shared" si="8"/>
        <v>-28680.548040121826</v>
      </c>
      <c r="L35" s="76">
        <f t="shared" si="8"/>
        <v>-28794.019085077078</v>
      </c>
      <c r="M35" s="76">
        <f t="shared" si="8"/>
        <v>-30437.078759653585</v>
      </c>
      <c r="N35" s="76">
        <f t="shared" si="8"/>
        <v>-29605.869296447258</v>
      </c>
      <c r="O35" s="76">
        <f t="shared" si="8"/>
        <v>-26196.173986107489</v>
      </c>
      <c r="P35" s="76">
        <f t="shared" si="8"/>
        <v>-28208.58674709126</v>
      </c>
      <c r="Q35" s="76">
        <f t="shared" si="8"/>
        <v>-26350.817823069308</v>
      </c>
      <c r="R35" s="76">
        <f t="shared" si="8"/>
        <v>-27350.244716730995</v>
      </c>
      <c r="S35" s="76">
        <f t="shared" si="8"/>
        <v>-27387.912584184796</v>
      </c>
    </row>
    <row r="36" spans="2:21" x14ac:dyDescent="0.25">
      <c r="B36" s="17" t="s">
        <v>85</v>
      </c>
      <c r="D36" s="76">
        <f>D27*$C$32</f>
        <v>-30729.583244033671</v>
      </c>
      <c r="E36" s="76">
        <f t="shared" si="9"/>
        <v>-31771.83285321519</v>
      </c>
      <c r="F36" s="76">
        <f t="shared" si="9"/>
        <v>-31731.471839586193</v>
      </c>
      <c r="G36" s="76">
        <f t="shared" si="8"/>
        <v>-32131.199892920769</v>
      </c>
      <c r="H36" s="76">
        <f t="shared" si="8"/>
        <v>-21601.845381256826</v>
      </c>
      <c r="I36" s="76">
        <f t="shared" si="8"/>
        <v>-22359.568235642095</v>
      </c>
      <c r="J36" s="76">
        <f t="shared" si="8"/>
        <v>-22596.057004028902</v>
      </c>
      <c r="K36" s="76">
        <f t="shared" si="8"/>
        <v>-22068.122279692398</v>
      </c>
      <c r="L36" s="76">
        <f t="shared" si="8"/>
        <v>-22129.249801799207</v>
      </c>
      <c r="M36" s="76">
        <f t="shared" si="8"/>
        <v>-21505.25161658556</v>
      </c>
      <c r="N36" s="76">
        <f t="shared" si="8"/>
        <v>-21807.566381536293</v>
      </c>
      <c r="O36" s="76">
        <f t="shared" si="8"/>
        <v>-21675.908993269266</v>
      </c>
      <c r="P36" s="76">
        <f t="shared" si="8"/>
        <v>-21240.665072713578</v>
      </c>
      <c r="Q36" s="76">
        <f t="shared" si="8"/>
        <v>-21912.64931839452</v>
      </c>
      <c r="R36" s="76">
        <f t="shared" si="8"/>
        <v>-21735.354533926373</v>
      </c>
      <c r="S36" s="76">
        <f t="shared" si="8"/>
        <v>-22081.253881745808</v>
      </c>
    </row>
    <row r="37" spans="2:21" x14ac:dyDescent="0.25">
      <c r="B37" s="17" t="s">
        <v>86</v>
      </c>
      <c r="D37" s="76">
        <f>D28*$C$32</f>
        <v>-1739.8851697354485</v>
      </c>
      <c r="E37" s="76">
        <f t="shared" si="9"/>
        <v>-2785.2613930332709</v>
      </c>
      <c r="F37" s="76">
        <f t="shared" si="9"/>
        <v>-5050.9991930283068</v>
      </c>
      <c r="G37" s="76">
        <f t="shared" si="8"/>
        <v>-6757.3783953351885</v>
      </c>
      <c r="H37" s="76">
        <f t="shared" si="8"/>
        <v>-6069.0273028500387</v>
      </c>
      <c r="I37" s="76">
        <f t="shared" si="8"/>
        <v>-5879.7588998107794</v>
      </c>
      <c r="J37" s="76">
        <f t="shared" si="8"/>
        <v>-4089.5574341657189</v>
      </c>
      <c r="K37" s="76">
        <f t="shared" si="8"/>
        <v>-2252.9477656891522</v>
      </c>
      <c r="L37" s="76">
        <f t="shared" si="8"/>
        <v>-1047.1410103848032</v>
      </c>
      <c r="M37" s="76">
        <f t="shared" si="8"/>
        <v>-918.87678731974927</v>
      </c>
      <c r="N37" s="76">
        <f t="shared" si="8"/>
        <v>-932.0826080451875</v>
      </c>
      <c r="O37" s="76">
        <f t="shared" si="8"/>
        <v>-895.59233628491756</v>
      </c>
      <c r="P37" s="76">
        <f t="shared" si="8"/>
        <v>-1124.8223595436682</v>
      </c>
      <c r="Q37" s="76">
        <f t="shared" si="8"/>
        <v>-1749.8928553453106</v>
      </c>
      <c r="R37" s="76">
        <f t="shared" si="8"/>
        <v>-3165.3197047768117</v>
      </c>
      <c r="S37" s="76">
        <f t="shared" si="8"/>
        <v>-4341.8437218992558</v>
      </c>
    </row>
    <row r="38" spans="2:21" x14ac:dyDescent="0.25">
      <c r="B38" s="121" t="s">
        <v>87</v>
      </c>
      <c r="D38" s="78">
        <f>D29*$C$32</f>
        <v>-569.5889967198849</v>
      </c>
      <c r="E38" s="78">
        <f t="shared" si="9"/>
        <v>-562.0737818247278</v>
      </c>
      <c r="F38" s="78">
        <f t="shared" si="9"/>
        <v>-540.65685815406289</v>
      </c>
      <c r="G38" s="78">
        <f t="shared" si="8"/>
        <v>-490.47545523659613</v>
      </c>
      <c r="H38" s="78">
        <f t="shared" si="8"/>
        <v>-523.09547523328149</v>
      </c>
      <c r="I38" s="78">
        <f t="shared" si="8"/>
        <v>-488.34316138516772</v>
      </c>
      <c r="J38" s="78">
        <f t="shared" si="8"/>
        <v>-487.09834685807471</v>
      </c>
      <c r="K38" s="78">
        <f t="shared" si="8"/>
        <v>-491.9109687830092</v>
      </c>
      <c r="L38" s="78">
        <f t="shared" si="8"/>
        <v>-454.32116803209874</v>
      </c>
      <c r="M38" s="78">
        <f t="shared" si="8"/>
        <v>-495.1049585033042</v>
      </c>
      <c r="N38" s="78">
        <f t="shared" si="8"/>
        <v>-499.20540675165932</v>
      </c>
      <c r="O38" s="78">
        <f t="shared" si="8"/>
        <v>-448.03797068837167</v>
      </c>
      <c r="P38" s="78">
        <f t="shared" si="8"/>
        <v>-435.64316918482166</v>
      </c>
      <c r="Q38" s="78">
        <f t="shared" si="8"/>
        <v>-428.62681368915253</v>
      </c>
      <c r="R38" s="78">
        <f t="shared" si="8"/>
        <v>-408.49408995768204</v>
      </c>
      <c r="S38" s="78">
        <f t="shared" si="8"/>
        <v>-463.3264046900797</v>
      </c>
    </row>
    <row r="39" spans="2:21" x14ac:dyDescent="0.25">
      <c r="B39" s="17" t="s">
        <v>0</v>
      </c>
      <c r="C39" s="51"/>
      <c r="D39" s="77">
        <f>SUM(D33:D38)</f>
        <v>-160388.10778665388</v>
      </c>
      <c r="E39" s="77">
        <f>SUM(E33:E38)</f>
        <v>-143829.83417465101</v>
      </c>
      <c r="F39" s="77">
        <f>SUM(F33:F38)</f>
        <v>-142782.31978597332</v>
      </c>
      <c r="G39" s="77">
        <f t="shared" ref="G39:S39" si="10">SUM(G33:G38)</f>
        <v>-141864.54028178225</v>
      </c>
      <c r="H39" s="77">
        <f t="shared" si="10"/>
        <v>-118678.04012057916</v>
      </c>
      <c r="I39" s="77">
        <f t="shared" si="10"/>
        <v>-114395.08738418932</v>
      </c>
      <c r="J39" s="77">
        <f t="shared" si="10"/>
        <v>-103213.07330348862</v>
      </c>
      <c r="K39" s="77">
        <f t="shared" si="10"/>
        <v>-107767.47653831985</v>
      </c>
      <c r="L39" s="77">
        <f t="shared" si="10"/>
        <v>-119564.90106786402</v>
      </c>
      <c r="M39" s="77">
        <f t="shared" si="10"/>
        <v>-136022.42302962186</v>
      </c>
      <c r="N39" s="77">
        <f t="shared" si="10"/>
        <v>-133006.83267342145</v>
      </c>
      <c r="O39" s="77">
        <f t="shared" si="10"/>
        <v>-115417.77884521025</v>
      </c>
      <c r="P39" s="77">
        <f t="shared" si="10"/>
        <v>-115651.45904281508</v>
      </c>
      <c r="Q39" s="77">
        <f t="shared" si="10"/>
        <v>-103138.50511366474</v>
      </c>
      <c r="R39" s="77">
        <f t="shared" si="10"/>
        <v>-101208.02909417378</v>
      </c>
      <c r="S39" s="77">
        <f t="shared" si="10"/>
        <v>-100925.47084674312</v>
      </c>
      <c r="U39" s="77">
        <f>SUM(H39:S39)-'7-2019 thru 6-2020 RECs'!E23</f>
        <v>0</v>
      </c>
    </row>
    <row r="40" spans="2:21" x14ac:dyDescent="0.25">
      <c r="C40" s="118"/>
    </row>
    <row r="41" spans="2:21" x14ac:dyDescent="0.25">
      <c r="C41" s="118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</row>
    <row r="43" spans="2:21" x14ac:dyDescent="0.25"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</row>
    <row r="46" spans="2:21" x14ac:dyDescent="0.25">
      <c r="B46" s="17" t="s">
        <v>120</v>
      </c>
    </row>
  </sheetData>
  <mergeCells count="2">
    <mergeCell ref="D14:G14"/>
    <mergeCell ref="H14:S14"/>
  </mergeCells>
  <pageMargins left="0.7" right="0.7" top="0.75" bottom="0.75" header="0.3" footer="0.3"/>
  <pageSetup scale="48" orientation="landscape" r:id="rId1"/>
  <headerFooter>
    <oddFooter>&amp;L&amp;F&amp;RPage: &amp;P of &amp;N</oddFooter>
  </headerFooter>
  <customProperties>
    <customPr name="xxe4aP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2"/>
  <sheetViews>
    <sheetView tabSelected="1" topLeftCell="A34" workbookViewId="0">
      <selection activeCell="T16" sqref="T16"/>
    </sheetView>
  </sheetViews>
  <sheetFormatPr defaultRowHeight="15" x14ac:dyDescent="0.25"/>
  <cols>
    <col min="1" max="1" width="16.5703125" style="95" customWidth="1"/>
    <col min="2" max="4" width="15.140625" style="95" bestFit="1" customWidth="1"/>
    <col min="5" max="5" width="15" style="95" customWidth="1"/>
    <col min="6" max="9" width="12.5703125" style="95" bestFit="1" customWidth="1"/>
    <col min="10" max="12" width="14.28515625" style="95" customWidth="1"/>
    <col min="13" max="17" width="12.5703125" style="95" bestFit="1" customWidth="1"/>
    <col min="18" max="18" width="15.5703125" style="95" customWidth="1"/>
    <col min="19" max="19" width="9.28515625" style="95" bestFit="1" customWidth="1"/>
    <col min="20" max="20" width="14.5703125" style="95" customWidth="1"/>
    <col min="21" max="16384" width="9.140625" style="95"/>
  </cols>
  <sheetData>
    <row r="1" spans="1:20" x14ac:dyDescent="0.25">
      <c r="A1" s="95" t="s">
        <v>123</v>
      </c>
    </row>
    <row r="3" spans="1:20" x14ac:dyDescent="0.25">
      <c r="A3" s="18" t="s">
        <v>55</v>
      </c>
    </row>
    <row r="4" spans="1:20" x14ac:dyDescent="0.25">
      <c r="A4" s="95" t="s">
        <v>110</v>
      </c>
    </row>
    <row r="6" spans="1:20" x14ac:dyDescent="0.25">
      <c r="B6" s="96">
        <v>43539</v>
      </c>
      <c r="C6" s="96">
        <v>43570</v>
      </c>
      <c r="D6" s="96">
        <v>43600</v>
      </c>
      <c r="E6" s="96">
        <v>43631</v>
      </c>
      <c r="F6" s="96">
        <v>43662</v>
      </c>
      <c r="G6" s="96">
        <v>43693</v>
      </c>
      <c r="H6" s="96">
        <v>43724</v>
      </c>
      <c r="I6" s="96">
        <v>43754</v>
      </c>
      <c r="J6" s="96">
        <v>43785</v>
      </c>
      <c r="K6" s="96">
        <v>43815</v>
      </c>
      <c r="L6" s="96">
        <v>43846</v>
      </c>
      <c r="M6" s="96">
        <v>43877</v>
      </c>
      <c r="N6" s="96">
        <v>43906</v>
      </c>
      <c r="O6" s="96">
        <v>43937</v>
      </c>
      <c r="P6" s="96">
        <v>43967</v>
      </c>
      <c r="Q6" s="96">
        <v>43998</v>
      </c>
      <c r="R6" s="97" t="s">
        <v>0</v>
      </c>
    </row>
    <row r="7" spans="1:20" x14ac:dyDescent="0.25">
      <c r="A7" s="98" t="s">
        <v>125</v>
      </c>
      <c r="B7" s="152">
        <v>213189988.19073486</v>
      </c>
      <c r="C7" s="152">
        <v>171239526.06262755</v>
      </c>
      <c r="D7" s="152">
        <v>156633831.35472667</v>
      </c>
      <c r="E7" s="152">
        <v>149456364.57308042</v>
      </c>
      <c r="F7" s="153">
        <v>189507782.4924854</v>
      </c>
      <c r="G7" s="153">
        <v>181237255.10943425</v>
      </c>
      <c r="H7" s="153">
        <v>157509657.90759605</v>
      </c>
      <c r="I7" s="153">
        <v>177655073.33967072</v>
      </c>
      <c r="J7" s="153">
        <v>226767969.68702835</v>
      </c>
      <c r="K7" s="153">
        <v>284367830.52156699</v>
      </c>
      <c r="L7" s="153">
        <v>274552124.0877986</v>
      </c>
      <c r="M7" s="153">
        <v>224184036.11593747</v>
      </c>
      <c r="N7" s="153">
        <v>216125614.92232913</v>
      </c>
      <c r="O7" s="153">
        <v>172859652.87680209</v>
      </c>
      <c r="P7" s="153">
        <v>156163072.25753611</v>
      </c>
      <c r="Q7" s="153">
        <v>148606138.3070735</v>
      </c>
      <c r="R7" s="154">
        <f>SUM(F7:Q7)</f>
        <v>2409536207.6252584</v>
      </c>
      <c r="T7" s="151"/>
    </row>
    <row r="8" spans="1:20" x14ac:dyDescent="0.25">
      <c r="A8" s="98" t="s">
        <v>44</v>
      </c>
      <c r="B8" s="152">
        <v>48272611.324739918</v>
      </c>
      <c r="C8" s="152">
        <v>42495410.712577581</v>
      </c>
      <c r="D8" s="152">
        <v>42493743.40239609</v>
      </c>
      <c r="E8" s="152">
        <v>42045281.023980618</v>
      </c>
      <c r="F8" s="153">
        <v>51154774.753830381</v>
      </c>
      <c r="G8" s="153">
        <v>48074660.605762258</v>
      </c>
      <c r="H8" s="153">
        <v>42654987.651678443</v>
      </c>
      <c r="I8" s="153">
        <v>45121283.290970862</v>
      </c>
      <c r="J8" s="153">
        <v>48931123.46598468</v>
      </c>
      <c r="K8" s="153">
        <v>55042379.406402804</v>
      </c>
      <c r="L8" s="153">
        <v>54302271.642651275</v>
      </c>
      <c r="M8" s="153">
        <v>47276769.031398319</v>
      </c>
      <c r="N8" s="153">
        <v>48911916.592581987</v>
      </c>
      <c r="O8" s="153">
        <v>43192522.765513897</v>
      </c>
      <c r="P8" s="153">
        <v>42908265.478547961</v>
      </c>
      <c r="Q8" s="153">
        <v>42789652.658001512</v>
      </c>
      <c r="R8" s="154">
        <f t="shared" ref="R8:R26" si="0">SUM(F8:Q8)</f>
        <v>570360607.34332442</v>
      </c>
      <c r="T8" s="151"/>
    </row>
    <row r="9" spans="1:20" x14ac:dyDescent="0.25">
      <c r="A9" s="98" t="s">
        <v>45</v>
      </c>
      <c r="B9" s="152">
        <v>5724182.9146942534</v>
      </c>
      <c r="C9" s="152">
        <v>4651895.7785043996</v>
      </c>
      <c r="D9" s="152">
        <v>4290584.0575502384</v>
      </c>
      <c r="E9" s="152">
        <v>3949742.2659298237</v>
      </c>
      <c r="F9" s="153">
        <v>4575322.6450908529</v>
      </c>
      <c r="G9" s="153">
        <v>4364848.305757341</v>
      </c>
      <c r="H9" s="153">
        <v>4100401.7900848486</v>
      </c>
      <c r="I9" s="153">
        <v>4681887.8074663887</v>
      </c>
      <c r="J9" s="153">
        <v>5709164.0520261377</v>
      </c>
      <c r="K9" s="153">
        <v>7093854.9899710706</v>
      </c>
      <c r="L9" s="153">
        <v>7148959.3737992896</v>
      </c>
      <c r="M9" s="153">
        <v>6017912.0237242952</v>
      </c>
      <c r="N9" s="153">
        <v>5889922.4932924882</v>
      </c>
      <c r="O9" s="153">
        <v>4796679.0498366468</v>
      </c>
      <c r="P9" s="153">
        <v>4381209.8913764777</v>
      </c>
      <c r="Q9" s="153">
        <v>4099046.7236777842</v>
      </c>
      <c r="R9" s="154">
        <f t="shared" si="0"/>
        <v>62859209.146103621</v>
      </c>
      <c r="T9" s="151"/>
    </row>
    <row r="10" spans="1:20" x14ac:dyDescent="0.25">
      <c r="A10" s="98" t="s">
        <v>46</v>
      </c>
      <c r="B10" s="152">
        <v>112945883.74407679</v>
      </c>
      <c r="C10" s="152">
        <v>105471432.77641559</v>
      </c>
      <c r="D10" s="152">
        <v>110218481.38479108</v>
      </c>
      <c r="E10" s="152">
        <v>109250433.38963576</v>
      </c>
      <c r="F10" s="153">
        <v>128491791.51402576</v>
      </c>
      <c r="G10" s="153">
        <v>120191277.51952186</v>
      </c>
      <c r="H10" s="153">
        <v>109720522.32939467</v>
      </c>
      <c r="I10" s="153">
        <v>115223979.46568261</v>
      </c>
      <c r="J10" s="153">
        <v>115405119.30189678</v>
      </c>
      <c r="K10" s="153">
        <v>121649761.54436184</v>
      </c>
      <c r="L10" s="153">
        <v>118225382.69860485</v>
      </c>
      <c r="M10" s="153">
        <v>104700897.43421076</v>
      </c>
      <c r="N10" s="153">
        <v>112942725.34782952</v>
      </c>
      <c r="O10" s="153">
        <v>105706338.70092885</v>
      </c>
      <c r="P10" s="153">
        <v>109879460.04141685</v>
      </c>
      <c r="Q10" s="153">
        <v>110126577.08670281</v>
      </c>
      <c r="R10" s="154">
        <f t="shared" si="0"/>
        <v>1372263832.9845774</v>
      </c>
      <c r="T10" s="151"/>
    </row>
    <row r="11" spans="1:20" x14ac:dyDescent="0.25">
      <c r="A11" s="98" t="s">
        <v>47</v>
      </c>
      <c r="B11" s="152">
        <v>2778910.7181493258</v>
      </c>
      <c r="C11" s="152">
        <v>2414495.3206309257</v>
      </c>
      <c r="D11" s="152">
        <v>2350597.7023464972</v>
      </c>
      <c r="E11" s="152">
        <v>2221931.9278208097</v>
      </c>
      <c r="F11" s="153">
        <v>2639797.8442611401</v>
      </c>
      <c r="G11" s="153">
        <v>2500709.5481361952</v>
      </c>
      <c r="H11" s="153">
        <v>2265198.4788719374</v>
      </c>
      <c r="I11" s="153">
        <v>2430969.9645238826</v>
      </c>
      <c r="J11" s="153">
        <v>2715317.3999380702</v>
      </c>
      <c r="K11" s="153">
        <v>3210926.5171290189</v>
      </c>
      <c r="L11" s="153">
        <v>3225471.3798449291</v>
      </c>
      <c r="M11" s="153">
        <v>2762513.7003581822</v>
      </c>
      <c r="N11" s="153">
        <v>2776118.050273058</v>
      </c>
      <c r="O11" s="153">
        <v>2391461.0370929707</v>
      </c>
      <c r="P11" s="153">
        <v>2318244.6380467443</v>
      </c>
      <c r="Q11" s="153">
        <v>2225650.8269131207</v>
      </c>
      <c r="R11" s="154">
        <f t="shared" si="0"/>
        <v>31462379.385389253</v>
      </c>
      <c r="T11" s="151"/>
    </row>
    <row r="12" spans="1:20" x14ac:dyDescent="0.25">
      <c r="A12" s="99" t="s">
        <v>48</v>
      </c>
      <c r="B12" s="153">
        <v>92097651.340277776</v>
      </c>
      <c r="C12" s="153">
        <v>95221310.400462955</v>
      </c>
      <c r="D12" s="153">
        <v>95100347.010513127</v>
      </c>
      <c r="E12" s="153">
        <v>96298346.169648603</v>
      </c>
      <c r="F12" s="153">
        <v>95172587.893913358</v>
      </c>
      <c r="G12" s="153">
        <v>98510934.395586789</v>
      </c>
      <c r="H12" s="153">
        <v>99552847.607073128</v>
      </c>
      <c r="I12" s="153">
        <v>97226892.899622038</v>
      </c>
      <c r="J12" s="153">
        <v>97496206.209099531</v>
      </c>
      <c r="K12" s="153">
        <v>94747018.763316929</v>
      </c>
      <c r="L12" s="153">
        <v>96078945.644150257</v>
      </c>
      <c r="M12" s="153">
        <v>95498894.535757512</v>
      </c>
      <c r="N12" s="153">
        <v>93581313.44241634</v>
      </c>
      <c r="O12" s="153">
        <v>96541916.046344131</v>
      </c>
      <c r="P12" s="153">
        <v>95760797.43540509</v>
      </c>
      <c r="Q12" s="153">
        <v>97284747.611965299</v>
      </c>
      <c r="R12" s="154">
        <f t="shared" si="0"/>
        <v>1157453102.4846506</v>
      </c>
      <c r="T12" s="151"/>
    </row>
    <row r="13" spans="1:20" x14ac:dyDescent="0.25">
      <c r="A13" s="98" t="s">
        <v>49</v>
      </c>
      <c r="B13" s="153">
        <v>4601847.4064209629</v>
      </c>
      <c r="C13" s="153">
        <v>7353678.9318030719</v>
      </c>
      <c r="D13" s="153">
        <v>13405805.779335853</v>
      </c>
      <c r="E13" s="153">
        <v>17798716.927261412</v>
      </c>
      <c r="F13" s="153">
        <v>24781786.991870087</v>
      </c>
      <c r="G13" s="153">
        <v>24118654.576243579</v>
      </c>
      <c r="H13" s="153">
        <v>16874405.532507256</v>
      </c>
      <c r="I13" s="153">
        <v>9308590.3874130026</v>
      </c>
      <c r="J13" s="153">
        <v>4294915.2174873054</v>
      </c>
      <c r="K13" s="153">
        <v>3737318.5625142548</v>
      </c>
      <c r="L13" s="153">
        <v>3784590.7781355679</v>
      </c>
      <c r="M13" s="153">
        <v>3665620.3187686498</v>
      </c>
      <c r="N13" s="153">
        <v>4647079.8267906029</v>
      </c>
      <c r="O13" s="153">
        <v>7211405.7366264099</v>
      </c>
      <c r="P13" s="153">
        <v>13109324.740183916</v>
      </c>
      <c r="Q13" s="153">
        <v>17860336.485932883</v>
      </c>
      <c r="R13" s="154">
        <f t="shared" si="0"/>
        <v>133394029.15447353</v>
      </c>
      <c r="T13" s="151"/>
    </row>
    <row r="14" spans="1:20" x14ac:dyDescent="0.25">
      <c r="A14" s="98" t="s">
        <v>50</v>
      </c>
      <c r="B14" s="153">
        <v>278375.15504453034</v>
      </c>
      <c r="C14" s="153">
        <v>458730.60320466821</v>
      </c>
      <c r="D14" s="153">
        <v>761795.99607833149</v>
      </c>
      <c r="E14" s="153">
        <v>1155126.1624457953</v>
      </c>
      <c r="F14" s="153">
        <v>1783346.2766863424</v>
      </c>
      <c r="G14" s="153">
        <v>1618019.6824310496</v>
      </c>
      <c r="H14" s="153">
        <v>1026261.7123097879</v>
      </c>
      <c r="I14" s="153">
        <v>552933.48718269251</v>
      </c>
      <c r="J14" s="153">
        <v>288593.65530684963</v>
      </c>
      <c r="K14" s="153">
        <v>284756.65554730344</v>
      </c>
      <c r="L14" s="153">
        <v>295288.49484055472</v>
      </c>
      <c r="M14" s="153">
        <v>254535.01757891409</v>
      </c>
      <c r="N14" s="153">
        <v>276453.12068804639</v>
      </c>
      <c r="O14" s="153">
        <v>448163.84318300179</v>
      </c>
      <c r="P14" s="153">
        <v>745801.55913196434</v>
      </c>
      <c r="Q14" s="153">
        <v>1144629.4415286554</v>
      </c>
      <c r="R14" s="154">
        <f t="shared" si="0"/>
        <v>8718782.9464151617</v>
      </c>
      <c r="T14" s="151"/>
    </row>
    <row r="15" spans="1:20" x14ac:dyDescent="0.25">
      <c r="A15" s="100" t="s">
        <v>51</v>
      </c>
      <c r="B15" s="153">
        <v>1244744.6911135332</v>
      </c>
      <c r="C15" s="153">
        <v>1228321.4036251963</v>
      </c>
      <c r="D15" s="153">
        <v>1181518.1785057436</v>
      </c>
      <c r="E15" s="153">
        <v>1071854.8331218716</v>
      </c>
      <c r="F15" s="153">
        <v>1219306.1121361735</v>
      </c>
      <c r="G15" s="153">
        <v>1138300.4244708719</v>
      </c>
      <c r="H15" s="153">
        <v>1135398.8318683293</v>
      </c>
      <c r="I15" s="153">
        <v>1146616.7827134524</v>
      </c>
      <c r="J15" s="153">
        <v>1058997.0727759385</v>
      </c>
      <c r="K15" s="153">
        <v>1154061.7929887162</v>
      </c>
      <c r="L15" s="153">
        <v>1163619.7070759824</v>
      </c>
      <c r="M15" s="153">
        <v>1044351.2933958977</v>
      </c>
      <c r="N15" s="153">
        <v>1015459.7086899638</v>
      </c>
      <c r="O15" s="153">
        <v>999104.97892103519</v>
      </c>
      <c r="P15" s="153">
        <v>952176.73300420039</v>
      </c>
      <c r="Q15" s="153">
        <v>1079987.7725968692</v>
      </c>
      <c r="R15" s="154">
        <f t="shared" si="0"/>
        <v>13107381.210637432</v>
      </c>
      <c r="T15" s="151"/>
    </row>
    <row r="16" spans="1:20" x14ac:dyDescent="0.25">
      <c r="A16" s="101" t="s">
        <v>0</v>
      </c>
      <c r="B16" s="104">
        <f>SUM(B7:B15)</f>
        <v>481134195.48525196</v>
      </c>
      <c r="C16" s="104">
        <f t="shared" ref="C16:R16" si="1">SUM(C7:C15)</f>
        <v>430534801.98985189</v>
      </c>
      <c r="D16" s="104">
        <f t="shared" si="1"/>
        <v>426436704.8662436</v>
      </c>
      <c r="E16" s="104">
        <f t="shared" si="1"/>
        <v>423247797.27292508</v>
      </c>
      <c r="F16" s="104">
        <f t="shared" si="1"/>
        <v>499326496.52429956</v>
      </c>
      <c r="G16" s="104">
        <f t="shared" si="1"/>
        <v>481754660.16734421</v>
      </c>
      <c r="H16" s="104">
        <f t="shared" si="1"/>
        <v>434839681.84138441</v>
      </c>
      <c r="I16" s="104">
        <f t="shared" si="1"/>
        <v>453348227.4252457</v>
      </c>
      <c r="J16" s="104">
        <f t="shared" si="1"/>
        <v>502667406.06154364</v>
      </c>
      <c r="K16" s="104">
        <f t="shared" si="1"/>
        <v>571287908.75379884</v>
      </c>
      <c r="L16" s="104">
        <f t="shared" si="1"/>
        <v>558776653.8069011</v>
      </c>
      <c r="M16" s="104">
        <f t="shared" si="1"/>
        <v>485405529.47112995</v>
      </c>
      <c r="N16" s="104">
        <f t="shared" si="1"/>
        <v>486166603.50489122</v>
      </c>
      <c r="O16" s="104">
        <f t="shared" si="1"/>
        <v>434147245.03524905</v>
      </c>
      <c r="P16" s="104">
        <f t="shared" si="1"/>
        <v>426218352.77464926</v>
      </c>
      <c r="Q16" s="104">
        <f t="shared" si="1"/>
        <v>425216766.91439247</v>
      </c>
      <c r="R16" s="104">
        <f t="shared" si="1"/>
        <v>5759155532.2808294</v>
      </c>
    </row>
    <row r="17" spans="1:19" x14ac:dyDescent="0.25">
      <c r="A17" s="102"/>
      <c r="B17" s="102"/>
      <c r="F17" s="102"/>
      <c r="R17" s="103"/>
    </row>
    <row r="18" spans="1:19" x14ac:dyDescent="0.25">
      <c r="A18" s="101" t="s">
        <v>125</v>
      </c>
      <c r="B18" s="104">
        <f>B7</f>
        <v>213189988.19073486</v>
      </c>
      <c r="C18" s="103">
        <f>C7</f>
        <v>171239526.06262755</v>
      </c>
      <c r="D18" s="103">
        <f>D7</f>
        <v>156633831.35472667</v>
      </c>
      <c r="E18" s="103">
        <f>E7</f>
        <v>149456364.57308042</v>
      </c>
      <c r="F18" s="104">
        <f t="shared" ref="F18:Q18" si="2">F7</f>
        <v>189507782.4924854</v>
      </c>
      <c r="G18" s="103">
        <f t="shared" si="2"/>
        <v>181237255.10943425</v>
      </c>
      <c r="H18" s="103">
        <f t="shared" si="2"/>
        <v>157509657.90759605</v>
      </c>
      <c r="I18" s="103">
        <f t="shared" si="2"/>
        <v>177655073.33967072</v>
      </c>
      <c r="J18" s="103">
        <f t="shared" si="2"/>
        <v>226767969.68702835</v>
      </c>
      <c r="K18" s="103">
        <f t="shared" si="2"/>
        <v>284367830.52156699</v>
      </c>
      <c r="L18" s="103">
        <f t="shared" si="2"/>
        <v>274552124.0877986</v>
      </c>
      <c r="M18" s="103">
        <f t="shared" si="2"/>
        <v>224184036.11593747</v>
      </c>
      <c r="N18" s="103">
        <f t="shared" si="2"/>
        <v>216125614.92232913</v>
      </c>
      <c r="O18" s="103">
        <f t="shared" si="2"/>
        <v>172859652.87680209</v>
      </c>
      <c r="P18" s="103">
        <f t="shared" si="2"/>
        <v>156163072.25753611</v>
      </c>
      <c r="Q18" s="103">
        <f t="shared" si="2"/>
        <v>148606138.3070735</v>
      </c>
      <c r="R18" s="103">
        <f t="shared" si="0"/>
        <v>2409536207.6252584</v>
      </c>
      <c r="S18" s="105"/>
    </row>
    <row r="19" spans="1:19" x14ac:dyDescent="0.25">
      <c r="A19" s="101" t="s">
        <v>52</v>
      </c>
      <c r="B19" s="104">
        <f>B8+B9</f>
        <v>53996794.239434168</v>
      </c>
      <c r="C19" s="103">
        <f>C8+C9</f>
        <v>47147306.491081983</v>
      </c>
      <c r="D19" s="103">
        <f>D8+D9</f>
        <v>46784327.459946327</v>
      </c>
      <c r="E19" s="103">
        <f>E8+E9</f>
        <v>45995023.289910443</v>
      </c>
      <c r="F19" s="104">
        <f t="shared" ref="F19:Q19" si="3">F8+F9</f>
        <v>55730097.398921236</v>
      </c>
      <c r="G19" s="103">
        <f t="shared" si="3"/>
        <v>52439508.911519602</v>
      </c>
      <c r="H19" s="103">
        <f t="shared" si="3"/>
        <v>46755389.441763289</v>
      </c>
      <c r="I19" s="103">
        <f t="shared" si="3"/>
        <v>49803171.09843725</v>
      </c>
      <c r="J19" s="103">
        <f t="shared" si="3"/>
        <v>54640287.518010817</v>
      </c>
      <c r="K19" s="103">
        <f t="shared" si="3"/>
        <v>62136234.396373875</v>
      </c>
      <c r="L19" s="103">
        <f t="shared" si="3"/>
        <v>61451231.016450562</v>
      </c>
      <c r="M19" s="103">
        <f t="shared" si="3"/>
        <v>53294681.055122614</v>
      </c>
      <c r="N19" s="103">
        <f t="shared" si="3"/>
        <v>54801839.085874476</v>
      </c>
      <c r="O19" s="103">
        <f t="shared" si="3"/>
        <v>47989201.815350547</v>
      </c>
      <c r="P19" s="103">
        <f t="shared" si="3"/>
        <v>47289475.369924441</v>
      </c>
      <c r="Q19" s="103">
        <f t="shared" si="3"/>
        <v>46888699.381679296</v>
      </c>
      <c r="R19" s="103">
        <f t="shared" si="0"/>
        <v>633219816.48942804</v>
      </c>
    </row>
    <row r="20" spans="1:19" x14ac:dyDescent="0.25">
      <c r="A20" s="101" t="s">
        <v>53</v>
      </c>
      <c r="B20" s="104">
        <f>B10+B11</f>
        <v>115724794.46222611</v>
      </c>
      <c r="C20" s="103">
        <f>C10+C11</f>
        <v>107885928.09704651</v>
      </c>
      <c r="D20" s="103">
        <f>D10+D11</f>
        <v>112569079.08713758</v>
      </c>
      <c r="E20" s="103">
        <f>E10+E11</f>
        <v>111472365.31745657</v>
      </c>
      <c r="F20" s="104">
        <f t="shared" ref="F20:Q20" si="4">F10+F11</f>
        <v>131131589.3582869</v>
      </c>
      <c r="G20" s="103">
        <f t="shared" si="4"/>
        <v>122691987.06765805</v>
      </c>
      <c r="H20" s="103">
        <f t="shared" si="4"/>
        <v>111985720.80826661</v>
      </c>
      <c r="I20" s="103">
        <f t="shared" si="4"/>
        <v>117654949.43020649</v>
      </c>
      <c r="J20" s="103">
        <f t="shared" si="4"/>
        <v>118120436.70183486</v>
      </c>
      <c r="K20" s="103">
        <f t="shared" si="4"/>
        <v>124860688.06149086</v>
      </c>
      <c r="L20" s="103">
        <f t="shared" si="4"/>
        <v>121450854.07844979</v>
      </c>
      <c r="M20" s="103">
        <f t="shared" si="4"/>
        <v>107463411.13456894</v>
      </c>
      <c r="N20" s="103">
        <f t="shared" si="4"/>
        <v>115718843.39810258</v>
      </c>
      <c r="O20" s="103">
        <f t="shared" si="4"/>
        <v>108097799.73802182</v>
      </c>
      <c r="P20" s="103">
        <f t="shared" si="4"/>
        <v>112197704.6794636</v>
      </c>
      <c r="Q20" s="103">
        <f t="shared" si="4"/>
        <v>112352227.91361593</v>
      </c>
      <c r="R20" s="103">
        <f t="shared" si="0"/>
        <v>1403726212.3699665</v>
      </c>
    </row>
    <row r="21" spans="1:19" x14ac:dyDescent="0.25">
      <c r="A21" s="101" t="s">
        <v>48</v>
      </c>
      <c r="B21" s="104">
        <f>B12</f>
        <v>92097651.340277776</v>
      </c>
      <c r="C21" s="103">
        <f>C12</f>
        <v>95221310.400462955</v>
      </c>
      <c r="D21" s="103">
        <f>D12</f>
        <v>95100347.010513127</v>
      </c>
      <c r="E21" s="103">
        <f>E12</f>
        <v>96298346.169648603</v>
      </c>
      <c r="F21" s="104">
        <f t="shared" ref="F21:Q21" si="5">F12</f>
        <v>95172587.893913358</v>
      </c>
      <c r="G21" s="103">
        <f t="shared" si="5"/>
        <v>98510934.395586789</v>
      </c>
      <c r="H21" s="103">
        <f t="shared" si="5"/>
        <v>99552847.607073128</v>
      </c>
      <c r="I21" s="103">
        <f t="shared" si="5"/>
        <v>97226892.899622038</v>
      </c>
      <c r="J21" s="103">
        <f t="shared" si="5"/>
        <v>97496206.209099531</v>
      </c>
      <c r="K21" s="103">
        <f t="shared" si="5"/>
        <v>94747018.763316929</v>
      </c>
      <c r="L21" s="103">
        <f t="shared" si="5"/>
        <v>96078945.644150257</v>
      </c>
      <c r="M21" s="103">
        <f t="shared" si="5"/>
        <v>95498894.535757512</v>
      </c>
      <c r="N21" s="103">
        <f t="shared" si="5"/>
        <v>93581313.44241634</v>
      </c>
      <c r="O21" s="103">
        <f t="shared" si="5"/>
        <v>96541916.046344131</v>
      </c>
      <c r="P21" s="103">
        <f t="shared" si="5"/>
        <v>95760797.43540509</v>
      </c>
      <c r="Q21" s="103">
        <f t="shared" si="5"/>
        <v>97284747.611965299</v>
      </c>
      <c r="R21" s="103">
        <f t="shared" si="0"/>
        <v>1157453102.4846506</v>
      </c>
    </row>
    <row r="22" spans="1:19" x14ac:dyDescent="0.25">
      <c r="A22" s="101" t="s">
        <v>54</v>
      </c>
      <c r="B22" s="104">
        <f>B13+B14</f>
        <v>4880222.5614654934</v>
      </c>
      <c r="C22" s="103">
        <f>C13+C14</f>
        <v>7812409.5350077404</v>
      </c>
      <c r="D22" s="103">
        <f>D13+D14</f>
        <v>14167601.775414184</v>
      </c>
      <c r="E22" s="103">
        <f>E13+E14</f>
        <v>18953843.089707207</v>
      </c>
      <c r="F22" s="104">
        <f>F13+F14</f>
        <v>26565133.268556431</v>
      </c>
      <c r="G22" s="103">
        <f t="shared" ref="G22:Q22" si="6">G13+G14</f>
        <v>25736674.258674629</v>
      </c>
      <c r="H22" s="103">
        <f t="shared" si="6"/>
        <v>17900667.244817045</v>
      </c>
      <c r="I22" s="103">
        <f t="shared" si="6"/>
        <v>9861523.8745956942</v>
      </c>
      <c r="J22" s="103">
        <f t="shared" si="6"/>
        <v>4583508.872794155</v>
      </c>
      <c r="K22" s="103">
        <f t="shared" si="6"/>
        <v>4022075.2180615584</v>
      </c>
      <c r="L22" s="103">
        <f t="shared" si="6"/>
        <v>4079879.2729761228</v>
      </c>
      <c r="M22" s="103">
        <f t="shared" si="6"/>
        <v>3920155.3363475641</v>
      </c>
      <c r="N22" s="103">
        <f t="shared" si="6"/>
        <v>4923532.9474786492</v>
      </c>
      <c r="O22" s="103">
        <f t="shared" si="6"/>
        <v>7659569.5798094114</v>
      </c>
      <c r="P22" s="103">
        <f t="shared" si="6"/>
        <v>13855126.299315881</v>
      </c>
      <c r="Q22" s="103">
        <f t="shared" si="6"/>
        <v>19004965.927461538</v>
      </c>
      <c r="R22" s="103">
        <f t="shared" si="0"/>
        <v>142112812.10088867</v>
      </c>
    </row>
    <row r="23" spans="1:19" x14ac:dyDescent="0.25">
      <c r="A23" s="101" t="s">
        <v>51</v>
      </c>
      <c r="B23" s="104">
        <f>B15</f>
        <v>1244744.6911135332</v>
      </c>
      <c r="C23" s="103">
        <f>C15</f>
        <v>1228321.4036251963</v>
      </c>
      <c r="D23" s="103">
        <f>D15</f>
        <v>1181518.1785057436</v>
      </c>
      <c r="E23" s="103">
        <f>E15</f>
        <v>1071854.8331218716</v>
      </c>
      <c r="F23" s="104">
        <f>F15</f>
        <v>1219306.1121361735</v>
      </c>
      <c r="G23" s="103">
        <f t="shared" ref="G23:Q23" si="7">G15</f>
        <v>1138300.4244708719</v>
      </c>
      <c r="H23" s="103">
        <f t="shared" si="7"/>
        <v>1135398.8318683293</v>
      </c>
      <c r="I23" s="103">
        <f t="shared" si="7"/>
        <v>1146616.7827134524</v>
      </c>
      <c r="J23" s="103">
        <f t="shared" si="7"/>
        <v>1058997.0727759385</v>
      </c>
      <c r="K23" s="103">
        <f t="shared" si="7"/>
        <v>1154061.7929887162</v>
      </c>
      <c r="L23" s="103">
        <f t="shared" si="7"/>
        <v>1163619.7070759824</v>
      </c>
      <c r="M23" s="103">
        <f t="shared" si="7"/>
        <v>1044351.2933958977</v>
      </c>
      <c r="N23" s="103">
        <f t="shared" si="7"/>
        <v>1015459.7086899638</v>
      </c>
      <c r="O23" s="103">
        <f t="shared" si="7"/>
        <v>999104.97892103519</v>
      </c>
      <c r="P23" s="103">
        <f t="shared" si="7"/>
        <v>952176.73300420039</v>
      </c>
      <c r="Q23" s="103">
        <f t="shared" si="7"/>
        <v>1079987.7725968692</v>
      </c>
      <c r="R23" s="103">
        <f t="shared" si="0"/>
        <v>13107381.210637432</v>
      </c>
    </row>
    <row r="24" spans="1:19" x14ac:dyDescent="0.25">
      <c r="A24" s="101" t="s">
        <v>0</v>
      </c>
      <c r="B24" s="104">
        <f>SUM(B18:B23)</f>
        <v>481134195.48525196</v>
      </c>
      <c r="C24" s="103">
        <f>SUM(C18:C23)</f>
        <v>430534801.98985189</v>
      </c>
      <c r="D24" s="103">
        <f>SUM(D18:D23)</f>
        <v>426436704.8662436</v>
      </c>
      <c r="E24" s="103">
        <f>SUM(E18:E23)</f>
        <v>423247797.27292514</v>
      </c>
      <c r="F24" s="104">
        <f>SUM(F18:F23)</f>
        <v>499326496.5242995</v>
      </c>
      <c r="G24" s="103">
        <f t="shared" ref="G24:R24" si="8">SUM(G18:G23)</f>
        <v>481754660.16734421</v>
      </c>
      <c r="H24" s="103">
        <f t="shared" si="8"/>
        <v>434839681.84138441</v>
      </c>
      <c r="I24" s="103">
        <f t="shared" si="8"/>
        <v>453348227.42524564</v>
      </c>
      <c r="J24" s="103">
        <f t="shared" si="8"/>
        <v>502667406.06154364</v>
      </c>
      <c r="K24" s="103">
        <f t="shared" si="8"/>
        <v>571287908.75379896</v>
      </c>
      <c r="L24" s="103">
        <f t="shared" si="8"/>
        <v>558776653.80690134</v>
      </c>
      <c r="M24" s="103">
        <f t="shared" si="8"/>
        <v>485405529.47113001</v>
      </c>
      <c r="N24" s="103">
        <f t="shared" si="8"/>
        <v>486166603.50489122</v>
      </c>
      <c r="O24" s="103">
        <f t="shared" si="8"/>
        <v>434147245.03524911</v>
      </c>
      <c r="P24" s="103">
        <f t="shared" si="8"/>
        <v>426218352.77464926</v>
      </c>
      <c r="Q24" s="103">
        <f t="shared" si="8"/>
        <v>425216766.91439247</v>
      </c>
      <c r="R24" s="103">
        <f t="shared" si="8"/>
        <v>5759155532.2808294</v>
      </c>
    </row>
    <row r="25" spans="1:19" x14ac:dyDescent="0.25">
      <c r="A25" s="102"/>
      <c r="B25" s="102"/>
      <c r="F25" s="102"/>
      <c r="R25" s="103">
        <f t="shared" si="0"/>
        <v>0</v>
      </c>
    </row>
    <row r="26" spans="1:19" x14ac:dyDescent="0.25">
      <c r="A26" s="101" t="s">
        <v>119</v>
      </c>
      <c r="B26" s="103">
        <f>SUM(B7:B15)-SUM(B18:B23)</f>
        <v>0</v>
      </c>
      <c r="C26" s="103">
        <f>SUM(C7:C15)-SUM(C18:C23)</f>
        <v>0</v>
      </c>
      <c r="D26" s="103">
        <f>SUM(D7:D15)-SUM(D18:D23)</f>
        <v>0</v>
      </c>
      <c r="E26" s="103">
        <f>SUM(E7:E15)-SUM(E18:E23)</f>
        <v>0</v>
      </c>
      <c r="F26" s="103">
        <f t="shared" ref="F26:Q26" si="9">SUM(F7:F15)-SUM(F18:F23)</f>
        <v>0</v>
      </c>
      <c r="G26" s="103">
        <f t="shared" si="9"/>
        <v>0</v>
      </c>
      <c r="H26" s="103">
        <f t="shared" si="9"/>
        <v>0</v>
      </c>
      <c r="I26" s="103">
        <f t="shared" si="9"/>
        <v>0</v>
      </c>
      <c r="J26" s="103">
        <f t="shared" si="9"/>
        <v>0</v>
      </c>
      <c r="K26" s="103">
        <f t="shared" si="9"/>
        <v>0</v>
      </c>
      <c r="L26" s="103">
        <f t="shared" si="9"/>
        <v>0</v>
      </c>
      <c r="M26" s="103">
        <f t="shared" si="9"/>
        <v>0</v>
      </c>
      <c r="N26" s="103">
        <f t="shared" si="9"/>
        <v>0</v>
      </c>
      <c r="O26" s="103">
        <f t="shared" si="9"/>
        <v>0</v>
      </c>
      <c r="P26" s="103">
        <f t="shared" si="9"/>
        <v>0</v>
      </c>
      <c r="Q26" s="103">
        <f t="shared" si="9"/>
        <v>0</v>
      </c>
      <c r="R26" s="103">
        <f t="shared" si="0"/>
        <v>0</v>
      </c>
    </row>
    <row r="29" spans="1:19" x14ac:dyDescent="0.25">
      <c r="A29" s="18" t="s">
        <v>56</v>
      </c>
    </row>
    <row r="30" spans="1:19" x14ac:dyDescent="0.25">
      <c r="A30" s="95" t="s">
        <v>111</v>
      </c>
      <c r="F30" s="123"/>
    </row>
    <row r="32" spans="1:19" x14ac:dyDescent="0.25">
      <c r="B32" s="96">
        <f>B6</f>
        <v>43539</v>
      </c>
      <c r="C32" s="96">
        <f>C6</f>
        <v>43570</v>
      </c>
      <c r="D32" s="96">
        <f>D6</f>
        <v>43600</v>
      </c>
      <c r="E32" s="96">
        <f>E6</f>
        <v>43631</v>
      </c>
      <c r="F32" s="96">
        <f t="shared" ref="F32:Q32" si="10">F6</f>
        <v>43662</v>
      </c>
      <c r="G32" s="96">
        <f t="shared" si="10"/>
        <v>43693</v>
      </c>
      <c r="H32" s="96">
        <f t="shared" si="10"/>
        <v>43724</v>
      </c>
      <c r="I32" s="96">
        <f t="shared" si="10"/>
        <v>43754</v>
      </c>
      <c r="J32" s="96">
        <f t="shared" si="10"/>
        <v>43785</v>
      </c>
      <c r="K32" s="96">
        <f t="shared" si="10"/>
        <v>43815</v>
      </c>
      <c r="L32" s="96">
        <f t="shared" si="10"/>
        <v>43846</v>
      </c>
      <c r="M32" s="96">
        <f t="shared" si="10"/>
        <v>43877</v>
      </c>
      <c r="N32" s="96">
        <f t="shared" si="10"/>
        <v>43906</v>
      </c>
      <c r="O32" s="96">
        <f t="shared" si="10"/>
        <v>43937</v>
      </c>
      <c r="P32" s="96">
        <f t="shared" si="10"/>
        <v>43967</v>
      </c>
      <c r="Q32" s="96">
        <f t="shared" si="10"/>
        <v>43998</v>
      </c>
      <c r="R32" s="97" t="s">
        <v>0</v>
      </c>
    </row>
    <row r="33" spans="1:21" x14ac:dyDescent="0.25">
      <c r="A33" s="98" t="s">
        <v>43</v>
      </c>
      <c r="B33" s="156">
        <v>217768</v>
      </c>
      <c r="C33" s="156">
        <v>216936</v>
      </c>
      <c r="D33" s="156">
        <v>217365</v>
      </c>
      <c r="E33" s="156">
        <v>216228</v>
      </c>
      <c r="F33" s="156">
        <v>217064</v>
      </c>
      <c r="G33" s="156">
        <v>216842</v>
      </c>
      <c r="H33" s="156">
        <v>217510</v>
      </c>
      <c r="I33" s="156">
        <v>218588</v>
      </c>
      <c r="J33" s="156">
        <v>218524</v>
      </c>
      <c r="K33" s="156">
        <v>219540</v>
      </c>
      <c r="L33" s="156">
        <v>218232</v>
      </c>
      <c r="M33" s="156">
        <v>218666</v>
      </c>
      <c r="N33" s="156">
        <v>218348</v>
      </c>
      <c r="O33" s="156">
        <v>218086</v>
      </c>
      <c r="P33" s="156">
        <v>218090</v>
      </c>
      <c r="Q33" s="156">
        <v>217185</v>
      </c>
      <c r="R33" s="154">
        <f>SUM(F33:Q33)</f>
        <v>2616675</v>
      </c>
      <c r="T33" s="151"/>
      <c r="U33" s="155"/>
    </row>
    <row r="34" spans="1:21" x14ac:dyDescent="0.25">
      <c r="A34" s="98" t="s">
        <v>44</v>
      </c>
      <c r="B34" s="156">
        <v>22969.358042038632</v>
      </c>
      <c r="C34" s="156">
        <v>22928.471212208518</v>
      </c>
      <c r="D34" s="156">
        <v>22975.468813225893</v>
      </c>
      <c r="E34" s="156">
        <v>22962.469686550274</v>
      </c>
      <c r="F34" s="156">
        <v>22966.467449781314</v>
      </c>
      <c r="G34" s="156">
        <v>23005.461578505376</v>
      </c>
      <c r="H34" s="156">
        <v>23002.465371393297</v>
      </c>
      <c r="I34" s="156">
        <v>23083.46659102292</v>
      </c>
      <c r="J34" s="156">
        <v>23073.464782178358</v>
      </c>
      <c r="K34" s="156">
        <v>23167.466376088712</v>
      </c>
      <c r="L34" s="156">
        <v>23152.465007996772</v>
      </c>
      <c r="M34" s="156">
        <v>23234.446284277787</v>
      </c>
      <c r="N34" s="156">
        <v>23203.455932938989</v>
      </c>
      <c r="O34" s="156">
        <v>23204.464090514019</v>
      </c>
      <c r="P34" s="156">
        <v>23227.463497039476</v>
      </c>
      <c r="Q34" s="156">
        <v>23225.463054023941</v>
      </c>
      <c r="R34" s="154">
        <f t="shared" ref="R34:R41" si="11">SUM(F34:Q34)</f>
        <v>277546.55001576099</v>
      </c>
      <c r="T34" s="151"/>
      <c r="U34" s="155"/>
    </row>
    <row r="35" spans="1:21" x14ac:dyDescent="0.25">
      <c r="A35" s="98" t="s">
        <v>45</v>
      </c>
      <c r="B35" s="156">
        <v>9678</v>
      </c>
      <c r="C35" s="156">
        <v>9685</v>
      </c>
      <c r="D35" s="156">
        <v>9697</v>
      </c>
      <c r="E35" s="156">
        <v>9712</v>
      </c>
      <c r="F35" s="156">
        <v>9726</v>
      </c>
      <c r="G35" s="156">
        <v>9757</v>
      </c>
      <c r="H35" s="156">
        <v>9773</v>
      </c>
      <c r="I35" s="156">
        <v>9807</v>
      </c>
      <c r="J35" s="156">
        <v>9816</v>
      </c>
      <c r="K35" s="156">
        <v>9850</v>
      </c>
      <c r="L35" s="156">
        <v>9860</v>
      </c>
      <c r="M35" s="156">
        <v>9877</v>
      </c>
      <c r="N35" s="156">
        <v>9883</v>
      </c>
      <c r="O35" s="156">
        <v>9892</v>
      </c>
      <c r="P35" s="156">
        <v>9902</v>
      </c>
      <c r="Q35" s="156">
        <v>9914</v>
      </c>
      <c r="R35" s="154">
        <f t="shared" si="11"/>
        <v>118057</v>
      </c>
      <c r="T35" s="151"/>
      <c r="U35" s="155"/>
    </row>
    <row r="36" spans="1:21" x14ac:dyDescent="0.25">
      <c r="A36" s="98" t="s">
        <v>46</v>
      </c>
      <c r="B36" s="156">
        <v>1859.6319464693654</v>
      </c>
      <c r="C36" s="156">
        <v>1858.6846086751459</v>
      </c>
      <c r="D36" s="156">
        <v>1858.8736038425193</v>
      </c>
      <c r="E36" s="156">
        <v>1859.0615661997665</v>
      </c>
      <c r="F36" s="156">
        <v>1859.1636778120926</v>
      </c>
      <c r="G36" s="156">
        <v>1859.2823804834193</v>
      </c>
      <c r="H36" s="156">
        <v>1859.3433413929386</v>
      </c>
      <c r="I36" s="156">
        <v>1859.4125014784652</v>
      </c>
      <c r="J36" s="156">
        <v>1858.4560817074616</v>
      </c>
      <c r="K36" s="156">
        <v>1860.4346162699128</v>
      </c>
      <c r="L36" s="156">
        <v>1859.371683803138</v>
      </c>
      <c r="M36" s="156">
        <v>1859.2813555344703</v>
      </c>
      <c r="N36" s="156">
        <v>1859.2497803057247</v>
      </c>
      <c r="O36" s="156">
        <v>1859.2179331254213</v>
      </c>
      <c r="P36" s="156">
        <v>1859.262376829611</v>
      </c>
      <c r="Q36" s="156">
        <v>1859.294774578535</v>
      </c>
      <c r="R36" s="154">
        <f t="shared" si="11"/>
        <v>22311.770503321193</v>
      </c>
      <c r="T36" s="151"/>
      <c r="U36" s="155"/>
    </row>
    <row r="37" spans="1:21" x14ac:dyDescent="0.25">
      <c r="A37" s="98" t="s">
        <v>47</v>
      </c>
      <c r="B37" s="156">
        <v>46.618000000000002</v>
      </c>
      <c r="C37" s="156">
        <v>46.5989</v>
      </c>
      <c r="D37" s="156">
        <v>46.579799999999999</v>
      </c>
      <c r="E37" s="156">
        <v>46.560699999999997</v>
      </c>
      <c r="F37" s="156">
        <v>46.541499999999999</v>
      </c>
      <c r="G37" s="156">
        <v>46.522399999999998</v>
      </c>
      <c r="H37" s="156">
        <v>46.503300000000003</v>
      </c>
      <c r="I37" s="156">
        <v>46.484200000000001</v>
      </c>
      <c r="J37" s="156">
        <v>46.4651</v>
      </c>
      <c r="K37" s="156">
        <v>46.445999999999998</v>
      </c>
      <c r="L37" s="156">
        <v>46.4268</v>
      </c>
      <c r="M37" s="156">
        <v>46.407699999999998</v>
      </c>
      <c r="N37" s="156">
        <v>46.388599999999997</v>
      </c>
      <c r="O37" s="156">
        <v>46.369500000000002</v>
      </c>
      <c r="P37" s="156">
        <v>46.3504</v>
      </c>
      <c r="Q37" s="156">
        <v>46.331200000000003</v>
      </c>
      <c r="R37" s="154">
        <f t="shared" si="11"/>
        <v>557.23669999999993</v>
      </c>
      <c r="T37" s="151"/>
      <c r="U37" s="155"/>
    </row>
    <row r="38" spans="1:21" x14ac:dyDescent="0.25">
      <c r="A38" s="99" t="s">
        <v>48</v>
      </c>
      <c r="B38" s="156">
        <v>22.993055555555557</v>
      </c>
      <c r="C38" s="156">
        <v>22.992476851851848</v>
      </c>
      <c r="D38" s="156">
        <v>22.991849922839506</v>
      </c>
      <c r="E38" s="156">
        <v>22.9911707497428</v>
      </c>
      <c r="F38" s="156">
        <v>22.990434978888032</v>
      </c>
      <c r="G38" s="156">
        <v>22.989637893795368</v>
      </c>
      <c r="H38" s="156">
        <v>22.988774384944982</v>
      </c>
      <c r="I38" s="156">
        <v>22.98783891702373</v>
      </c>
      <c r="J38" s="156">
        <v>22.986825493442375</v>
      </c>
      <c r="K38" s="156">
        <v>22.985727617895904</v>
      </c>
      <c r="L38" s="156">
        <v>22.984538252720562</v>
      </c>
      <c r="M38" s="156">
        <v>22.983249773780614</v>
      </c>
      <c r="N38" s="156">
        <v>22.988798366040108</v>
      </c>
      <c r="O38" s="156">
        <v>22.988443600247152</v>
      </c>
      <c r="P38" s="156">
        <v>22.988107495946764</v>
      </c>
      <c r="Q38" s="156">
        <v>22.987795627039034</v>
      </c>
      <c r="R38" s="154">
        <f t="shared" si="11"/>
        <v>275.85017240176461</v>
      </c>
      <c r="T38" s="151"/>
      <c r="U38" s="155"/>
    </row>
    <row r="39" spans="1:21" x14ac:dyDescent="0.25">
      <c r="A39" s="98" t="s">
        <v>49</v>
      </c>
      <c r="B39" s="153">
        <v>1248.8870194422775</v>
      </c>
      <c r="C39" s="156">
        <v>1245.9801377291342</v>
      </c>
      <c r="D39" s="153">
        <v>1256.4279436510064</v>
      </c>
      <c r="E39" s="153">
        <v>1274.835484325627</v>
      </c>
      <c r="F39" s="153">
        <v>1260.6512377262195</v>
      </c>
      <c r="G39" s="153">
        <v>1263.0359216635384</v>
      </c>
      <c r="H39" s="153">
        <v>1261.4409519673113</v>
      </c>
      <c r="I39" s="153">
        <v>1270.4021309212721</v>
      </c>
      <c r="J39" s="153">
        <v>1271.050778923342</v>
      </c>
      <c r="K39" s="153">
        <v>1253.6527888776927</v>
      </c>
      <c r="L39" s="153">
        <v>1259.9299867485786</v>
      </c>
      <c r="M39" s="153">
        <v>1260.7407544807393</v>
      </c>
      <c r="N39" s="153">
        <v>1267.0468363713949</v>
      </c>
      <c r="O39" s="153">
        <v>1261.9348461154882</v>
      </c>
      <c r="P39" s="153">
        <v>1259.8528301476842</v>
      </c>
      <c r="Q39" s="153">
        <v>1277.5896290224073</v>
      </c>
      <c r="R39" s="154">
        <f t="shared" si="11"/>
        <v>15167.328692965668</v>
      </c>
      <c r="T39" s="151"/>
      <c r="U39" s="155"/>
    </row>
    <row r="40" spans="1:21" x14ac:dyDescent="0.25">
      <c r="A40" s="98" t="s">
        <v>50</v>
      </c>
      <c r="B40" s="153">
        <v>1215.0198</v>
      </c>
      <c r="C40" s="157">
        <v>1208.0163</v>
      </c>
      <c r="D40" s="153">
        <v>1214.0134</v>
      </c>
      <c r="E40" s="153">
        <v>1216.0110999999999</v>
      </c>
      <c r="F40" s="153">
        <v>1201.0092</v>
      </c>
      <c r="G40" s="153">
        <v>1217.0077000000001</v>
      </c>
      <c r="H40" s="153">
        <v>1225.0065</v>
      </c>
      <c r="I40" s="153">
        <v>1212.0055</v>
      </c>
      <c r="J40" s="153">
        <v>1222.0047</v>
      </c>
      <c r="K40" s="153">
        <v>1215.0041000000001</v>
      </c>
      <c r="L40" s="153">
        <v>1211.0036</v>
      </c>
      <c r="M40" s="153">
        <v>1218.0030999999999</v>
      </c>
      <c r="N40" s="153">
        <v>1207.0028</v>
      </c>
      <c r="O40" s="153">
        <v>1211.0025000000001</v>
      </c>
      <c r="P40" s="153">
        <v>1212.0023000000001</v>
      </c>
      <c r="Q40" s="153">
        <v>1207.0021999999999</v>
      </c>
      <c r="R40" s="154">
        <f t="shared" si="11"/>
        <v>14558.054200000002</v>
      </c>
      <c r="T40" s="151"/>
      <c r="U40" s="155"/>
    </row>
    <row r="41" spans="1:21" x14ac:dyDescent="0.25">
      <c r="A41" s="100" t="s">
        <v>51</v>
      </c>
      <c r="B41" s="153">
        <v>433.19310000000002</v>
      </c>
      <c r="C41" s="157">
        <v>434.83139999999997</v>
      </c>
      <c r="D41" s="153">
        <v>435.1918</v>
      </c>
      <c r="E41" s="153">
        <v>435.30489999999998</v>
      </c>
      <c r="F41" s="153">
        <v>434.69720000000001</v>
      </c>
      <c r="G41" s="153">
        <v>435.41129999999998</v>
      </c>
      <c r="H41" s="153">
        <v>436.93970000000002</v>
      </c>
      <c r="I41" s="153">
        <v>435.97230000000002</v>
      </c>
      <c r="J41" s="153">
        <v>435.4674</v>
      </c>
      <c r="K41" s="153">
        <v>436.74290000000002</v>
      </c>
      <c r="L41" s="153">
        <v>437.09710000000001</v>
      </c>
      <c r="M41" s="153">
        <v>436.96460000000002</v>
      </c>
      <c r="N41" s="153">
        <v>436.69200000000001</v>
      </c>
      <c r="O41" s="153">
        <v>436.85879999999997</v>
      </c>
      <c r="P41" s="153">
        <v>438.00020000000001</v>
      </c>
      <c r="Q41" s="153">
        <v>437.75119999999998</v>
      </c>
      <c r="R41" s="154">
        <f t="shared" si="11"/>
        <v>5238.5947000000006</v>
      </c>
      <c r="T41" s="151"/>
      <c r="U41" s="155"/>
    </row>
    <row r="42" spans="1:21" x14ac:dyDescent="0.25">
      <c r="A42" s="101" t="s">
        <v>0</v>
      </c>
      <c r="B42" s="104">
        <f>SUM(B33:B41)</f>
        <v>255241.70096350583</v>
      </c>
      <c r="C42" s="104">
        <f t="shared" ref="C42:R42" si="12">SUM(C33:C41)</f>
        <v>254366.57503546463</v>
      </c>
      <c r="D42" s="104">
        <f t="shared" si="12"/>
        <v>254871.54721064225</v>
      </c>
      <c r="E42" s="104">
        <f t="shared" si="12"/>
        <v>253757.23460782538</v>
      </c>
      <c r="F42" s="104">
        <f t="shared" si="12"/>
        <v>254581.52070029848</v>
      </c>
      <c r="G42" s="104">
        <f t="shared" si="12"/>
        <v>254448.71091854613</v>
      </c>
      <c r="H42" s="104">
        <f t="shared" si="12"/>
        <v>255137.6879391385</v>
      </c>
      <c r="I42" s="104">
        <f t="shared" si="12"/>
        <v>256325.73106233968</v>
      </c>
      <c r="J42" s="104">
        <f t="shared" si="12"/>
        <v>256269.8956683026</v>
      </c>
      <c r="K42" s="104">
        <f t="shared" si="12"/>
        <v>257392.73250885421</v>
      </c>
      <c r="L42" s="104">
        <f t="shared" si="12"/>
        <v>256081.2787168012</v>
      </c>
      <c r="M42" s="104">
        <f t="shared" si="12"/>
        <v>256621.82704406677</v>
      </c>
      <c r="N42" s="104">
        <f t="shared" si="12"/>
        <v>256273.82474798214</v>
      </c>
      <c r="O42" s="104">
        <f t="shared" si="12"/>
        <v>256020.83611335518</v>
      </c>
      <c r="P42" s="104">
        <f t="shared" si="12"/>
        <v>256057.91971151272</v>
      </c>
      <c r="Q42" s="104">
        <f t="shared" si="12"/>
        <v>255175.41985325189</v>
      </c>
      <c r="R42" s="104">
        <f t="shared" si="12"/>
        <v>3070387.3849844495</v>
      </c>
    </row>
    <row r="43" spans="1:21" x14ac:dyDescent="0.25">
      <c r="A43" s="102"/>
      <c r="R43" s="103"/>
    </row>
    <row r="44" spans="1:21" x14ac:dyDescent="0.25">
      <c r="A44" s="101" t="s">
        <v>43</v>
      </c>
      <c r="B44" s="103">
        <f>B33</f>
        <v>217768</v>
      </c>
      <c r="C44" s="103">
        <f>C33</f>
        <v>216936</v>
      </c>
      <c r="D44" s="103">
        <f>D33</f>
        <v>217365</v>
      </c>
      <c r="E44" s="103">
        <f>E33</f>
        <v>216228</v>
      </c>
      <c r="F44" s="103">
        <f t="shared" ref="F44:Q44" si="13">F33</f>
        <v>217064</v>
      </c>
      <c r="G44" s="103">
        <f t="shared" si="13"/>
        <v>216842</v>
      </c>
      <c r="H44" s="103">
        <f t="shared" si="13"/>
        <v>217510</v>
      </c>
      <c r="I44" s="103">
        <f t="shared" si="13"/>
        <v>218588</v>
      </c>
      <c r="J44" s="103">
        <f t="shared" si="13"/>
        <v>218524</v>
      </c>
      <c r="K44" s="103">
        <f t="shared" si="13"/>
        <v>219540</v>
      </c>
      <c r="L44" s="103">
        <f t="shared" si="13"/>
        <v>218232</v>
      </c>
      <c r="M44" s="103">
        <f t="shared" si="13"/>
        <v>218666</v>
      </c>
      <c r="N44" s="103">
        <f t="shared" si="13"/>
        <v>218348</v>
      </c>
      <c r="O44" s="103">
        <f t="shared" si="13"/>
        <v>218086</v>
      </c>
      <c r="P44" s="103">
        <f t="shared" si="13"/>
        <v>218090</v>
      </c>
      <c r="Q44" s="103">
        <f t="shared" si="13"/>
        <v>217185</v>
      </c>
      <c r="R44" s="103">
        <f t="shared" ref="R44:R49" si="14">SUM(F44:Q44)</f>
        <v>2616675</v>
      </c>
    </row>
    <row r="45" spans="1:21" x14ac:dyDescent="0.25">
      <c r="A45" s="101" t="s">
        <v>52</v>
      </c>
      <c r="B45" s="103">
        <f>B34+B35</f>
        <v>32647.358042038632</v>
      </c>
      <c r="C45" s="103">
        <f>C34+C35</f>
        <v>32613.471212208518</v>
      </c>
      <c r="D45" s="103">
        <f>D34+D35</f>
        <v>32672.468813225893</v>
      </c>
      <c r="E45" s="103">
        <f>E34+E35</f>
        <v>32674.469686550274</v>
      </c>
      <c r="F45" s="103">
        <f t="shared" ref="F45:Q45" si="15">F34+F35</f>
        <v>32692.467449781314</v>
      </c>
      <c r="G45" s="103">
        <f t="shared" si="15"/>
        <v>32762.461578505376</v>
      </c>
      <c r="H45" s="103">
        <f t="shared" si="15"/>
        <v>32775.465371393293</v>
      </c>
      <c r="I45" s="103">
        <f t="shared" si="15"/>
        <v>32890.466591022923</v>
      </c>
      <c r="J45" s="103">
        <f t="shared" si="15"/>
        <v>32889.464782178358</v>
      </c>
      <c r="K45" s="103">
        <f t="shared" si="15"/>
        <v>33017.466376088712</v>
      </c>
      <c r="L45" s="103">
        <f t="shared" si="15"/>
        <v>33012.465007996769</v>
      </c>
      <c r="M45" s="103">
        <f t="shared" si="15"/>
        <v>33111.446284277787</v>
      </c>
      <c r="N45" s="103">
        <f t="shared" si="15"/>
        <v>33086.455932938989</v>
      </c>
      <c r="O45" s="103">
        <f t="shared" si="15"/>
        <v>33096.464090514019</v>
      </c>
      <c r="P45" s="103">
        <f t="shared" si="15"/>
        <v>33129.463497039476</v>
      </c>
      <c r="Q45" s="103">
        <f t="shared" si="15"/>
        <v>33139.463054023945</v>
      </c>
      <c r="R45" s="103">
        <f t="shared" si="14"/>
        <v>395603.55001576093</v>
      </c>
    </row>
    <row r="46" spans="1:21" x14ac:dyDescent="0.25">
      <c r="A46" s="101" t="s">
        <v>53</v>
      </c>
      <c r="B46" s="103">
        <f>B36+B37</f>
        <v>1906.2499464693653</v>
      </c>
      <c r="C46" s="103">
        <f>C36+C37</f>
        <v>1905.2835086751459</v>
      </c>
      <c r="D46" s="103">
        <f>D36+D37</f>
        <v>1905.4534038425193</v>
      </c>
      <c r="E46" s="103">
        <f>E36+E37</f>
        <v>1905.6222661997665</v>
      </c>
      <c r="F46" s="103">
        <f t="shared" ref="F46:Q46" si="16">F36+F37</f>
        <v>1905.7051778120926</v>
      </c>
      <c r="G46" s="103">
        <f t="shared" si="16"/>
        <v>1905.8047804834193</v>
      </c>
      <c r="H46" s="103">
        <f t="shared" si="16"/>
        <v>1905.8466413929386</v>
      </c>
      <c r="I46" s="103">
        <f t="shared" si="16"/>
        <v>1905.8967014784653</v>
      </c>
      <c r="J46" s="103">
        <f t="shared" si="16"/>
        <v>1904.9211817074615</v>
      </c>
      <c r="K46" s="103">
        <f t="shared" si="16"/>
        <v>1906.8806162699127</v>
      </c>
      <c r="L46" s="103">
        <f t="shared" si="16"/>
        <v>1905.798483803138</v>
      </c>
      <c r="M46" s="103">
        <f t="shared" si="16"/>
        <v>1905.6890555344703</v>
      </c>
      <c r="N46" s="103">
        <f t="shared" si="16"/>
        <v>1905.6383803057247</v>
      </c>
      <c r="O46" s="103">
        <f t="shared" si="16"/>
        <v>1905.5874331254213</v>
      </c>
      <c r="P46" s="103">
        <f t="shared" si="16"/>
        <v>1905.612776829611</v>
      </c>
      <c r="Q46" s="103">
        <f t="shared" si="16"/>
        <v>1905.6259745785351</v>
      </c>
      <c r="R46" s="103">
        <f t="shared" si="14"/>
        <v>22869.007203321187</v>
      </c>
    </row>
    <row r="47" spans="1:21" x14ac:dyDescent="0.25">
      <c r="A47" s="101" t="s">
        <v>48</v>
      </c>
      <c r="B47" s="103">
        <f>B38</f>
        <v>22.993055555555557</v>
      </c>
      <c r="C47" s="103">
        <f>C38</f>
        <v>22.992476851851848</v>
      </c>
      <c r="D47" s="103">
        <f>D38</f>
        <v>22.991849922839506</v>
      </c>
      <c r="E47" s="103">
        <f>E38</f>
        <v>22.9911707497428</v>
      </c>
      <c r="F47" s="103">
        <f t="shared" ref="F47:Q47" si="17">F38</f>
        <v>22.990434978888032</v>
      </c>
      <c r="G47" s="103">
        <f t="shared" si="17"/>
        <v>22.989637893795368</v>
      </c>
      <c r="H47" s="103">
        <f t="shared" si="17"/>
        <v>22.988774384944982</v>
      </c>
      <c r="I47" s="103">
        <f t="shared" si="17"/>
        <v>22.98783891702373</v>
      </c>
      <c r="J47" s="103">
        <f t="shared" si="17"/>
        <v>22.986825493442375</v>
      </c>
      <c r="K47" s="103">
        <f t="shared" si="17"/>
        <v>22.985727617895904</v>
      </c>
      <c r="L47" s="103">
        <f t="shared" si="17"/>
        <v>22.984538252720562</v>
      </c>
      <c r="M47" s="103">
        <f t="shared" si="17"/>
        <v>22.983249773780614</v>
      </c>
      <c r="N47" s="103">
        <f t="shared" si="17"/>
        <v>22.988798366040108</v>
      </c>
      <c r="O47" s="103">
        <f t="shared" si="17"/>
        <v>22.988443600247152</v>
      </c>
      <c r="P47" s="103">
        <f t="shared" si="17"/>
        <v>22.988107495946764</v>
      </c>
      <c r="Q47" s="103">
        <f t="shared" si="17"/>
        <v>22.987795627039034</v>
      </c>
      <c r="R47" s="103">
        <f t="shared" si="14"/>
        <v>275.85017240176461</v>
      </c>
    </row>
    <row r="48" spans="1:21" x14ac:dyDescent="0.25">
      <c r="A48" s="101" t="s">
        <v>54</v>
      </c>
      <c r="B48" s="103">
        <f>B39+B40</f>
        <v>2463.9068194422775</v>
      </c>
      <c r="C48" s="103">
        <f>C39+C40</f>
        <v>2453.9964377291344</v>
      </c>
      <c r="D48" s="103">
        <f>D39+D40</f>
        <v>2470.4413436510067</v>
      </c>
      <c r="E48" s="103">
        <f>E39+E40</f>
        <v>2490.8465843256272</v>
      </c>
      <c r="F48" s="103">
        <f>F39+F40</f>
        <v>2461.6604377262192</v>
      </c>
      <c r="G48" s="103">
        <f t="shared" ref="G48:Q48" si="18">G39+G40</f>
        <v>2480.0436216635385</v>
      </c>
      <c r="H48" s="103">
        <f t="shared" si="18"/>
        <v>2486.4474519673113</v>
      </c>
      <c r="I48" s="103">
        <f t="shared" si="18"/>
        <v>2482.4076309212724</v>
      </c>
      <c r="J48" s="103">
        <f t="shared" si="18"/>
        <v>2493.055478923342</v>
      </c>
      <c r="K48" s="103">
        <f t="shared" si="18"/>
        <v>2468.6568888776928</v>
      </c>
      <c r="L48" s="103">
        <f t="shared" si="18"/>
        <v>2470.9335867485788</v>
      </c>
      <c r="M48" s="103">
        <f t="shared" si="18"/>
        <v>2478.7438544807392</v>
      </c>
      <c r="N48" s="103">
        <f t="shared" si="18"/>
        <v>2474.0496363713946</v>
      </c>
      <c r="O48" s="103">
        <f t="shared" si="18"/>
        <v>2472.9373461154883</v>
      </c>
      <c r="P48" s="103">
        <f t="shared" si="18"/>
        <v>2471.8551301476846</v>
      </c>
      <c r="Q48" s="103">
        <f t="shared" si="18"/>
        <v>2484.5918290224072</v>
      </c>
      <c r="R48" s="103">
        <f t="shared" si="14"/>
        <v>29725.382892965667</v>
      </c>
    </row>
    <row r="49" spans="1:18" x14ac:dyDescent="0.25">
      <c r="A49" s="101" t="s">
        <v>51</v>
      </c>
      <c r="B49" s="103">
        <f>B41</f>
        <v>433.19310000000002</v>
      </c>
      <c r="C49" s="103">
        <f>C41</f>
        <v>434.83139999999997</v>
      </c>
      <c r="D49" s="103">
        <f>D41</f>
        <v>435.1918</v>
      </c>
      <c r="E49" s="103">
        <f>E41</f>
        <v>435.30489999999998</v>
      </c>
      <c r="F49" s="103">
        <f>F41</f>
        <v>434.69720000000001</v>
      </c>
      <c r="G49" s="103">
        <f t="shared" ref="G49:Q49" si="19">G41</f>
        <v>435.41129999999998</v>
      </c>
      <c r="H49" s="103">
        <f t="shared" si="19"/>
        <v>436.93970000000002</v>
      </c>
      <c r="I49" s="103">
        <f t="shared" si="19"/>
        <v>435.97230000000002</v>
      </c>
      <c r="J49" s="103">
        <f t="shared" si="19"/>
        <v>435.4674</v>
      </c>
      <c r="K49" s="103">
        <f t="shared" si="19"/>
        <v>436.74290000000002</v>
      </c>
      <c r="L49" s="103">
        <f t="shared" si="19"/>
        <v>437.09710000000001</v>
      </c>
      <c r="M49" s="103">
        <f t="shared" si="19"/>
        <v>436.96460000000002</v>
      </c>
      <c r="N49" s="103">
        <f t="shared" si="19"/>
        <v>436.69200000000001</v>
      </c>
      <c r="O49" s="103">
        <f t="shared" si="19"/>
        <v>436.85879999999997</v>
      </c>
      <c r="P49" s="103">
        <f t="shared" si="19"/>
        <v>438.00020000000001</v>
      </c>
      <c r="Q49" s="103">
        <f t="shared" si="19"/>
        <v>437.75119999999998</v>
      </c>
      <c r="R49" s="103">
        <f t="shared" si="14"/>
        <v>5238.5947000000006</v>
      </c>
    </row>
    <row r="50" spans="1:18" x14ac:dyDescent="0.25">
      <c r="A50" s="101" t="s">
        <v>0</v>
      </c>
      <c r="B50" s="103">
        <f>SUM(B44:B49)</f>
        <v>255241.70096350583</v>
      </c>
      <c r="C50" s="103">
        <f>SUM(C44:C49)</f>
        <v>254366.57503546463</v>
      </c>
      <c r="D50" s="103">
        <f>SUM(D44:D49)</f>
        <v>254871.54721064225</v>
      </c>
      <c r="E50" s="103">
        <f>SUM(E44:E49)</f>
        <v>253757.23460782538</v>
      </c>
      <c r="F50" s="103">
        <f t="shared" ref="F50:R50" si="20">SUM(F44:F49)</f>
        <v>254581.52070029848</v>
      </c>
      <c r="G50" s="103">
        <f t="shared" si="20"/>
        <v>254448.71091854613</v>
      </c>
      <c r="H50" s="103">
        <f t="shared" si="20"/>
        <v>255137.6879391385</v>
      </c>
      <c r="I50" s="103">
        <f t="shared" si="20"/>
        <v>256325.73106233968</v>
      </c>
      <c r="J50" s="103">
        <f t="shared" si="20"/>
        <v>256269.8956683026</v>
      </c>
      <c r="K50" s="103">
        <f t="shared" si="20"/>
        <v>257392.73250885421</v>
      </c>
      <c r="L50" s="103">
        <f t="shared" si="20"/>
        <v>256081.27871680123</v>
      </c>
      <c r="M50" s="103">
        <f t="shared" si="20"/>
        <v>256621.82704406674</v>
      </c>
      <c r="N50" s="103">
        <f t="shared" si="20"/>
        <v>256273.82474798217</v>
      </c>
      <c r="O50" s="103">
        <f t="shared" si="20"/>
        <v>256020.83611335515</v>
      </c>
      <c r="P50" s="103">
        <f t="shared" si="20"/>
        <v>256057.91971151272</v>
      </c>
      <c r="Q50" s="103">
        <f t="shared" si="20"/>
        <v>255175.41985325189</v>
      </c>
      <c r="R50" s="103">
        <f t="shared" si="20"/>
        <v>3070387.3849844495</v>
      </c>
    </row>
    <row r="51" spans="1:18" x14ac:dyDescent="0.25">
      <c r="R51" s="103">
        <f>SUM(F51:Q51)</f>
        <v>0</v>
      </c>
    </row>
    <row r="52" spans="1:18" x14ac:dyDescent="0.25">
      <c r="A52" s="101" t="s">
        <v>119</v>
      </c>
      <c r="B52" s="103">
        <f>SUM(B33:B41)-SUM(B44:B49)</f>
        <v>0</v>
      </c>
      <c r="C52" s="103">
        <f>SUM(C33:C41)-SUM(C44:C49)</f>
        <v>0</v>
      </c>
      <c r="D52" s="103">
        <f>SUM(D33:D41)-SUM(D44:D49)</f>
        <v>0</v>
      </c>
      <c r="E52" s="103">
        <f>SUM(E33:E41)-SUM(E44:E49)</f>
        <v>0</v>
      </c>
      <c r="F52" s="103">
        <f t="shared" ref="F52:Q52" si="21">SUM(F33:F41)-SUM(F44:F49)</f>
        <v>0</v>
      </c>
      <c r="G52" s="103">
        <f t="shared" si="21"/>
        <v>0</v>
      </c>
      <c r="H52" s="103">
        <f t="shared" si="21"/>
        <v>0</v>
      </c>
      <c r="I52" s="103">
        <f t="shared" si="21"/>
        <v>0</v>
      </c>
      <c r="J52" s="103">
        <f t="shared" si="21"/>
        <v>0</v>
      </c>
      <c r="K52" s="103">
        <f t="shared" si="21"/>
        <v>0</v>
      </c>
      <c r="L52" s="103">
        <f t="shared" si="21"/>
        <v>0</v>
      </c>
      <c r="M52" s="103">
        <f t="shared" si="21"/>
        <v>0</v>
      </c>
      <c r="N52" s="103">
        <f t="shared" si="21"/>
        <v>0</v>
      </c>
      <c r="O52" s="103">
        <f t="shared" si="21"/>
        <v>0</v>
      </c>
      <c r="P52" s="103">
        <f t="shared" si="21"/>
        <v>0</v>
      </c>
      <c r="Q52" s="103">
        <f t="shared" si="21"/>
        <v>0</v>
      </c>
      <c r="R52" s="103">
        <f>SUM(F52:Q52)</f>
        <v>0</v>
      </c>
    </row>
  </sheetData>
  <pageMargins left="0.7" right="0.7" top="0.75" bottom="0.75" header="0.3" footer="0.3"/>
  <pageSetup scale="50" orientation="landscape" r:id="rId1"/>
  <headerFooter>
    <oddFooter>&amp;L&amp;F&amp;RPage: &amp;P of &amp;N</oddFooter>
  </headerFooter>
  <customProperties>
    <customPr name="xxe4aP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zoomScaleNormal="100" workbookViewId="0">
      <selection activeCell="T16" sqref="T16"/>
    </sheetView>
  </sheetViews>
  <sheetFormatPr defaultRowHeight="15" x14ac:dyDescent="0.25"/>
  <cols>
    <col min="1" max="1" width="30.85546875" style="111" customWidth="1"/>
    <col min="2" max="2" width="9.140625" style="111" customWidth="1"/>
    <col min="3" max="3" width="9.7109375" style="111" customWidth="1"/>
    <col min="4" max="4" width="15.140625" style="111" customWidth="1"/>
    <col min="5" max="5" width="12" style="111" customWidth="1"/>
    <col min="6" max="9" width="9.140625" style="111"/>
    <col min="10" max="10" width="9.42578125" style="111" customWidth="1"/>
    <col min="11" max="256" width="9.140625" style="111"/>
    <col min="257" max="257" width="30.85546875" style="111" customWidth="1"/>
    <col min="258" max="258" width="9.140625" style="111" customWidth="1"/>
    <col min="259" max="259" width="9.7109375" style="111" customWidth="1"/>
    <col min="260" max="260" width="15.140625" style="111" customWidth="1"/>
    <col min="261" max="261" width="12" style="111" customWidth="1"/>
    <col min="262" max="265" width="9.140625" style="111"/>
    <col min="266" max="266" width="9.42578125" style="111" customWidth="1"/>
    <col min="267" max="512" width="9.140625" style="111"/>
    <col min="513" max="513" width="30.85546875" style="111" customWidth="1"/>
    <col min="514" max="514" width="9.140625" style="111" customWidth="1"/>
    <col min="515" max="515" width="9.7109375" style="111" customWidth="1"/>
    <col min="516" max="516" width="15.140625" style="111" customWidth="1"/>
    <col min="517" max="517" width="12" style="111" customWidth="1"/>
    <col min="518" max="521" width="9.140625" style="111"/>
    <col min="522" max="522" width="9.42578125" style="111" customWidth="1"/>
    <col min="523" max="768" width="9.140625" style="111"/>
    <col min="769" max="769" width="30.85546875" style="111" customWidth="1"/>
    <col min="770" max="770" width="9.140625" style="111" customWidth="1"/>
    <col min="771" max="771" width="9.7109375" style="111" customWidth="1"/>
    <col min="772" max="772" width="15.140625" style="111" customWidth="1"/>
    <col min="773" max="773" width="12" style="111" customWidth="1"/>
    <col min="774" max="777" width="9.140625" style="111"/>
    <col min="778" max="778" width="9.42578125" style="111" customWidth="1"/>
    <col min="779" max="1024" width="9.140625" style="111"/>
    <col min="1025" max="1025" width="30.85546875" style="111" customWidth="1"/>
    <col min="1026" max="1026" width="9.140625" style="111" customWidth="1"/>
    <col min="1027" max="1027" width="9.7109375" style="111" customWidth="1"/>
    <col min="1028" max="1028" width="15.140625" style="111" customWidth="1"/>
    <col min="1029" max="1029" width="12" style="111" customWidth="1"/>
    <col min="1030" max="1033" width="9.140625" style="111"/>
    <col min="1034" max="1034" width="9.42578125" style="111" customWidth="1"/>
    <col min="1035" max="1280" width="9.140625" style="111"/>
    <col min="1281" max="1281" width="30.85546875" style="111" customWidth="1"/>
    <col min="1282" max="1282" width="9.140625" style="111" customWidth="1"/>
    <col min="1283" max="1283" width="9.7109375" style="111" customWidth="1"/>
    <col min="1284" max="1284" width="15.140625" style="111" customWidth="1"/>
    <col min="1285" max="1285" width="12" style="111" customWidth="1"/>
    <col min="1286" max="1289" width="9.140625" style="111"/>
    <col min="1290" max="1290" width="9.42578125" style="111" customWidth="1"/>
    <col min="1291" max="1536" width="9.140625" style="111"/>
    <col min="1537" max="1537" width="30.85546875" style="111" customWidth="1"/>
    <col min="1538" max="1538" width="9.140625" style="111" customWidth="1"/>
    <col min="1539" max="1539" width="9.7109375" style="111" customWidth="1"/>
    <col min="1540" max="1540" width="15.140625" style="111" customWidth="1"/>
    <col min="1541" max="1541" width="12" style="111" customWidth="1"/>
    <col min="1542" max="1545" width="9.140625" style="111"/>
    <col min="1546" max="1546" width="9.42578125" style="111" customWidth="1"/>
    <col min="1547" max="1792" width="9.140625" style="111"/>
    <col min="1793" max="1793" width="30.85546875" style="111" customWidth="1"/>
    <col min="1794" max="1794" width="9.140625" style="111" customWidth="1"/>
    <col min="1795" max="1795" width="9.7109375" style="111" customWidth="1"/>
    <col min="1796" max="1796" width="15.140625" style="111" customWidth="1"/>
    <col min="1797" max="1797" width="12" style="111" customWidth="1"/>
    <col min="1798" max="1801" width="9.140625" style="111"/>
    <col min="1802" max="1802" width="9.42578125" style="111" customWidth="1"/>
    <col min="1803" max="2048" width="9.140625" style="111"/>
    <col min="2049" max="2049" width="30.85546875" style="111" customWidth="1"/>
    <col min="2050" max="2050" width="9.140625" style="111" customWidth="1"/>
    <col min="2051" max="2051" width="9.7109375" style="111" customWidth="1"/>
    <col min="2052" max="2052" width="15.140625" style="111" customWidth="1"/>
    <col min="2053" max="2053" width="12" style="111" customWidth="1"/>
    <col min="2054" max="2057" width="9.140625" style="111"/>
    <col min="2058" max="2058" width="9.42578125" style="111" customWidth="1"/>
    <col min="2059" max="2304" width="9.140625" style="111"/>
    <col min="2305" max="2305" width="30.85546875" style="111" customWidth="1"/>
    <col min="2306" max="2306" width="9.140625" style="111" customWidth="1"/>
    <col min="2307" max="2307" width="9.7109375" style="111" customWidth="1"/>
    <col min="2308" max="2308" width="15.140625" style="111" customWidth="1"/>
    <col min="2309" max="2309" width="12" style="111" customWidth="1"/>
    <col min="2310" max="2313" width="9.140625" style="111"/>
    <col min="2314" max="2314" width="9.42578125" style="111" customWidth="1"/>
    <col min="2315" max="2560" width="9.140625" style="111"/>
    <col min="2561" max="2561" width="30.85546875" style="111" customWidth="1"/>
    <col min="2562" max="2562" width="9.140625" style="111" customWidth="1"/>
    <col min="2563" max="2563" width="9.7109375" style="111" customWidth="1"/>
    <col min="2564" max="2564" width="15.140625" style="111" customWidth="1"/>
    <col min="2565" max="2565" width="12" style="111" customWidth="1"/>
    <col min="2566" max="2569" width="9.140625" style="111"/>
    <col min="2570" max="2570" width="9.42578125" style="111" customWidth="1"/>
    <col min="2571" max="2816" width="9.140625" style="111"/>
    <col min="2817" max="2817" width="30.85546875" style="111" customWidth="1"/>
    <col min="2818" max="2818" width="9.140625" style="111" customWidth="1"/>
    <col min="2819" max="2819" width="9.7109375" style="111" customWidth="1"/>
    <col min="2820" max="2820" width="15.140625" style="111" customWidth="1"/>
    <col min="2821" max="2821" width="12" style="111" customWidth="1"/>
    <col min="2822" max="2825" width="9.140625" style="111"/>
    <col min="2826" max="2826" width="9.42578125" style="111" customWidth="1"/>
    <col min="2827" max="3072" width="9.140625" style="111"/>
    <col min="3073" max="3073" width="30.85546875" style="111" customWidth="1"/>
    <col min="3074" max="3074" width="9.140625" style="111" customWidth="1"/>
    <col min="3075" max="3075" width="9.7109375" style="111" customWidth="1"/>
    <col min="3076" max="3076" width="15.140625" style="111" customWidth="1"/>
    <col min="3077" max="3077" width="12" style="111" customWidth="1"/>
    <col min="3078" max="3081" width="9.140625" style="111"/>
    <col min="3082" max="3082" width="9.42578125" style="111" customWidth="1"/>
    <col min="3083" max="3328" width="9.140625" style="111"/>
    <col min="3329" max="3329" width="30.85546875" style="111" customWidth="1"/>
    <col min="3330" max="3330" width="9.140625" style="111" customWidth="1"/>
    <col min="3331" max="3331" width="9.7109375" style="111" customWidth="1"/>
    <col min="3332" max="3332" width="15.140625" style="111" customWidth="1"/>
    <col min="3333" max="3333" width="12" style="111" customWidth="1"/>
    <col min="3334" max="3337" width="9.140625" style="111"/>
    <col min="3338" max="3338" width="9.42578125" style="111" customWidth="1"/>
    <col min="3339" max="3584" width="9.140625" style="111"/>
    <col min="3585" max="3585" width="30.85546875" style="111" customWidth="1"/>
    <col min="3586" max="3586" width="9.140625" style="111" customWidth="1"/>
    <col min="3587" max="3587" width="9.7109375" style="111" customWidth="1"/>
    <col min="3588" max="3588" width="15.140625" style="111" customWidth="1"/>
    <col min="3589" max="3589" width="12" style="111" customWidth="1"/>
    <col min="3590" max="3593" width="9.140625" style="111"/>
    <col min="3594" max="3594" width="9.42578125" style="111" customWidth="1"/>
    <col min="3595" max="3840" width="9.140625" style="111"/>
    <col min="3841" max="3841" width="30.85546875" style="111" customWidth="1"/>
    <col min="3842" max="3842" width="9.140625" style="111" customWidth="1"/>
    <col min="3843" max="3843" width="9.7109375" style="111" customWidth="1"/>
    <col min="3844" max="3844" width="15.140625" style="111" customWidth="1"/>
    <col min="3845" max="3845" width="12" style="111" customWidth="1"/>
    <col min="3846" max="3849" width="9.140625" style="111"/>
    <col min="3850" max="3850" width="9.42578125" style="111" customWidth="1"/>
    <col min="3851" max="4096" width="9.140625" style="111"/>
    <col min="4097" max="4097" width="30.85546875" style="111" customWidth="1"/>
    <col min="4098" max="4098" width="9.140625" style="111" customWidth="1"/>
    <col min="4099" max="4099" width="9.7109375" style="111" customWidth="1"/>
    <col min="4100" max="4100" width="15.140625" style="111" customWidth="1"/>
    <col min="4101" max="4101" width="12" style="111" customWidth="1"/>
    <col min="4102" max="4105" width="9.140625" style="111"/>
    <col min="4106" max="4106" width="9.42578125" style="111" customWidth="1"/>
    <col min="4107" max="4352" width="9.140625" style="111"/>
    <col min="4353" max="4353" width="30.85546875" style="111" customWidth="1"/>
    <col min="4354" max="4354" width="9.140625" style="111" customWidth="1"/>
    <col min="4355" max="4355" width="9.7109375" style="111" customWidth="1"/>
    <col min="4356" max="4356" width="15.140625" style="111" customWidth="1"/>
    <col min="4357" max="4357" width="12" style="111" customWidth="1"/>
    <col min="4358" max="4361" width="9.140625" style="111"/>
    <col min="4362" max="4362" width="9.42578125" style="111" customWidth="1"/>
    <col min="4363" max="4608" width="9.140625" style="111"/>
    <col min="4609" max="4609" width="30.85546875" style="111" customWidth="1"/>
    <col min="4610" max="4610" width="9.140625" style="111" customWidth="1"/>
    <col min="4611" max="4611" width="9.7109375" style="111" customWidth="1"/>
    <col min="4612" max="4612" width="15.140625" style="111" customWidth="1"/>
    <col min="4613" max="4613" width="12" style="111" customWidth="1"/>
    <col min="4614" max="4617" width="9.140625" style="111"/>
    <col min="4618" max="4618" width="9.42578125" style="111" customWidth="1"/>
    <col min="4619" max="4864" width="9.140625" style="111"/>
    <col min="4865" max="4865" width="30.85546875" style="111" customWidth="1"/>
    <col min="4866" max="4866" width="9.140625" style="111" customWidth="1"/>
    <col min="4867" max="4867" width="9.7109375" style="111" customWidth="1"/>
    <col min="4868" max="4868" width="15.140625" style="111" customWidth="1"/>
    <col min="4869" max="4869" width="12" style="111" customWidth="1"/>
    <col min="4870" max="4873" width="9.140625" style="111"/>
    <col min="4874" max="4874" width="9.42578125" style="111" customWidth="1"/>
    <col min="4875" max="5120" width="9.140625" style="111"/>
    <col min="5121" max="5121" width="30.85546875" style="111" customWidth="1"/>
    <col min="5122" max="5122" width="9.140625" style="111" customWidth="1"/>
    <col min="5123" max="5123" width="9.7109375" style="111" customWidth="1"/>
    <col min="5124" max="5124" width="15.140625" style="111" customWidth="1"/>
    <col min="5125" max="5125" width="12" style="111" customWidth="1"/>
    <col min="5126" max="5129" width="9.140625" style="111"/>
    <col min="5130" max="5130" width="9.42578125" style="111" customWidth="1"/>
    <col min="5131" max="5376" width="9.140625" style="111"/>
    <col min="5377" max="5377" width="30.85546875" style="111" customWidth="1"/>
    <col min="5378" max="5378" width="9.140625" style="111" customWidth="1"/>
    <col min="5379" max="5379" width="9.7109375" style="111" customWidth="1"/>
    <col min="5380" max="5380" width="15.140625" style="111" customWidth="1"/>
    <col min="5381" max="5381" width="12" style="111" customWidth="1"/>
    <col min="5382" max="5385" width="9.140625" style="111"/>
    <col min="5386" max="5386" width="9.42578125" style="111" customWidth="1"/>
    <col min="5387" max="5632" width="9.140625" style="111"/>
    <col min="5633" max="5633" width="30.85546875" style="111" customWidth="1"/>
    <col min="5634" max="5634" width="9.140625" style="111" customWidth="1"/>
    <col min="5635" max="5635" width="9.7109375" style="111" customWidth="1"/>
    <col min="5636" max="5636" width="15.140625" style="111" customWidth="1"/>
    <col min="5637" max="5637" width="12" style="111" customWidth="1"/>
    <col min="5638" max="5641" width="9.140625" style="111"/>
    <col min="5642" max="5642" width="9.42578125" style="111" customWidth="1"/>
    <col min="5643" max="5888" width="9.140625" style="111"/>
    <col min="5889" max="5889" width="30.85546875" style="111" customWidth="1"/>
    <col min="5890" max="5890" width="9.140625" style="111" customWidth="1"/>
    <col min="5891" max="5891" width="9.7109375" style="111" customWidth="1"/>
    <col min="5892" max="5892" width="15.140625" style="111" customWidth="1"/>
    <col min="5893" max="5893" width="12" style="111" customWidth="1"/>
    <col min="5894" max="5897" width="9.140625" style="111"/>
    <col min="5898" max="5898" width="9.42578125" style="111" customWidth="1"/>
    <col min="5899" max="6144" width="9.140625" style="111"/>
    <col min="6145" max="6145" width="30.85546875" style="111" customWidth="1"/>
    <col min="6146" max="6146" width="9.140625" style="111" customWidth="1"/>
    <col min="6147" max="6147" width="9.7109375" style="111" customWidth="1"/>
    <col min="6148" max="6148" width="15.140625" style="111" customWidth="1"/>
    <col min="6149" max="6149" width="12" style="111" customWidth="1"/>
    <col min="6150" max="6153" width="9.140625" style="111"/>
    <col min="6154" max="6154" width="9.42578125" style="111" customWidth="1"/>
    <col min="6155" max="6400" width="9.140625" style="111"/>
    <col min="6401" max="6401" width="30.85546875" style="111" customWidth="1"/>
    <col min="6402" max="6402" width="9.140625" style="111" customWidth="1"/>
    <col min="6403" max="6403" width="9.7109375" style="111" customWidth="1"/>
    <col min="6404" max="6404" width="15.140625" style="111" customWidth="1"/>
    <col min="6405" max="6405" width="12" style="111" customWidth="1"/>
    <col min="6406" max="6409" width="9.140625" style="111"/>
    <col min="6410" max="6410" width="9.42578125" style="111" customWidth="1"/>
    <col min="6411" max="6656" width="9.140625" style="111"/>
    <col min="6657" max="6657" width="30.85546875" style="111" customWidth="1"/>
    <col min="6658" max="6658" width="9.140625" style="111" customWidth="1"/>
    <col min="6659" max="6659" width="9.7109375" style="111" customWidth="1"/>
    <col min="6660" max="6660" width="15.140625" style="111" customWidth="1"/>
    <col min="6661" max="6661" width="12" style="111" customWidth="1"/>
    <col min="6662" max="6665" width="9.140625" style="111"/>
    <col min="6666" max="6666" width="9.42578125" style="111" customWidth="1"/>
    <col min="6667" max="6912" width="9.140625" style="111"/>
    <col min="6913" max="6913" width="30.85546875" style="111" customWidth="1"/>
    <col min="6914" max="6914" width="9.140625" style="111" customWidth="1"/>
    <col min="6915" max="6915" width="9.7109375" style="111" customWidth="1"/>
    <col min="6916" max="6916" width="15.140625" style="111" customWidth="1"/>
    <col min="6917" max="6917" width="12" style="111" customWidth="1"/>
    <col min="6918" max="6921" width="9.140625" style="111"/>
    <col min="6922" max="6922" width="9.42578125" style="111" customWidth="1"/>
    <col min="6923" max="7168" width="9.140625" style="111"/>
    <col min="7169" max="7169" width="30.85546875" style="111" customWidth="1"/>
    <col min="7170" max="7170" width="9.140625" style="111" customWidth="1"/>
    <col min="7171" max="7171" width="9.7109375" style="111" customWidth="1"/>
    <col min="7172" max="7172" width="15.140625" style="111" customWidth="1"/>
    <col min="7173" max="7173" width="12" style="111" customWidth="1"/>
    <col min="7174" max="7177" width="9.140625" style="111"/>
    <col min="7178" max="7178" width="9.42578125" style="111" customWidth="1"/>
    <col min="7179" max="7424" width="9.140625" style="111"/>
    <col min="7425" max="7425" width="30.85546875" style="111" customWidth="1"/>
    <col min="7426" max="7426" width="9.140625" style="111" customWidth="1"/>
    <col min="7427" max="7427" width="9.7109375" style="111" customWidth="1"/>
    <col min="7428" max="7428" width="15.140625" style="111" customWidth="1"/>
    <col min="7429" max="7429" width="12" style="111" customWidth="1"/>
    <col min="7430" max="7433" width="9.140625" style="111"/>
    <col min="7434" max="7434" width="9.42578125" style="111" customWidth="1"/>
    <col min="7435" max="7680" width="9.140625" style="111"/>
    <col min="7681" max="7681" width="30.85546875" style="111" customWidth="1"/>
    <col min="7682" max="7682" width="9.140625" style="111" customWidth="1"/>
    <col min="7683" max="7683" width="9.7109375" style="111" customWidth="1"/>
    <col min="7684" max="7684" width="15.140625" style="111" customWidth="1"/>
    <col min="7685" max="7685" width="12" style="111" customWidth="1"/>
    <col min="7686" max="7689" width="9.140625" style="111"/>
    <col min="7690" max="7690" width="9.42578125" style="111" customWidth="1"/>
    <col min="7691" max="7936" width="9.140625" style="111"/>
    <col min="7937" max="7937" width="30.85546875" style="111" customWidth="1"/>
    <col min="7938" max="7938" width="9.140625" style="111" customWidth="1"/>
    <col min="7939" max="7939" width="9.7109375" style="111" customWidth="1"/>
    <col min="7940" max="7940" width="15.140625" style="111" customWidth="1"/>
    <col min="7941" max="7941" width="12" style="111" customWidth="1"/>
    <col min="7942" max="7945" width="9.140625" style="111"/>
    <col min="7946" max="7946" width="9.42578125" style="111" customWidth="1"/>
    <col min="7947" max="8192" width="9.140625" style="111"/>
    <col min="8193" max="8193" width="30.85546875" style="111" customWidth="1"/>
    <col min="8194" max="8194" width="9.140625" style="111" customWidth="1"/>
    <col min="8195" max="8195" width="9.7109375" style="111" customWidth="1"/>
    <col min="8196" max="8196" width="15.140625" style="111" customWidth="1"/>
    <col min="8197" max="8197" width="12" style="111" customWidth="1"/>
    <col min="8198" max="8201" width="9.140625" style="111"/>
    <col min="8202" max="8202" width="9.42578125" style="111" customWidth="1"/>
    <col min="8203" max="8448" width="9.140625" style="111"/>
    <col min="8449" max="8449" width="30.85546875" style="111" customWidth="1"/>
    <col min="8450" max="8450" width="9.140625" style="111" customWidth="1"/>
    <col min="8451" max="8451" width="9.7109375" style="111" customWidth="1"/>
    <col min="8452" max="8452" width="15.140625" style="111" customWidth="1"/>
    <col min="8453" max="8453" width="12" style="111" customWidth="1"/>
    <col min="8454" max="8457" width="9.140625" style="111"/>
    <col min="8458" max="8458" width="9.42578125" style="111" customWidth="1"/>
    <col min="8459" max="8704" width="9.140625" style="111"/>
    <col min="8705" max="8705" width="30.85546875" style="111" customWidth="1"/>
    <col min="8706" max="8706" width="9.140625" style="111" customWidth="1"/>
    <col min="8707" max="8707" width="9.7109375" style="111" customWidth="1"/>
    <col min="8708" max="8708" width="15.140625" style="111" customWidth="1"/>
    <col min="8709" max="8709" width="12" style="111" customWidth="1"/>
    <col min="8710" max="8713" width="9.140625" style="111"/>
    <col min="8714" max="8714" width="9.42578125" style="111" customWidth="1"/>
    <col min="8715" max="8960" width="9.140625" style="111"/>
    <col min="8961" max="8961" width="30.85546875" style="111" customWidth="1"/>
    <col min="8962" max="8962" width="9.140625" style="111" customWidth="1"/>
    <col min="8963" max="8963" width="9.7109375" style="111" customWidth="1"/>
    <col min="8964" max="8964" width="15.140625" style="111" customWidth="1"/>
    <col min="8965" max="8965" width="12" style="111" customWidth="1"/>
    <col min="8966" max="8969" width="9.140625" style="111"/>
    <col min="8970" max="8970" width="9.42578125" style="111" customWidth="1"/>
    <col min="8971" max="9216" width="9.140625" style="111"/>
    <col min="9217" max="9217" width="30.85546875" style="111" customWidth="1"/>
    <col min="9218" max="9218" width="9.140625" style="111" customWidth="1"/>
    <col min="9219" max="9219" width="9.7109375" style="111" customWidth="1"/>
    <col min="9220" max="9220" width="15.140625" style="111" customWidth="1"/>
    <col min="9221" max="9221" width="12" style="111" customWidth="1"/>
    <col min="9222" max="9225" width="9.140625" style="111"/>
    <col min="9226" max="9226" width="9.42578125" style="111" customWidth="1"/>
    <col min="9227" max="9472" width="9.140625" style="111"/>
    <col min="9473" max="9473" width="30.85546875" style="111" customWidth="1"/>
    <col min="9474" max="9474" width="9.140625" style="111" customWidth="1"/>
    <col min="9475" max="9475" width="9.7109375" style="111" customWidth="1"/>
    <col min="9476" max="9476" width="15.140625" style="111" customWidth="1"/>
    <col min="9477" max="9477" width="12" style="111" customWidth="1"/>
    <col min="9478" max="9481" width="9.140625" style="111"/>
    <col min="9482" max="9482" width="9.42578125" style="111" customWidth="1"/>
    <col min="9483" max="9728" width="9.140625" style="111"/>
    <col min="9729" max="9729" width="30.85546875" style="111" customWidth="1"/>
    <col min="9730" max="9730" width="9.140625" style="111" customWidth="1"/>
    <col min="9731" max="9731" width="9.7109375" style="111" customWidth="1"/>
    <col min="9732" max="9732" width="15.140625" style="111" customWidth="1"/>
    <col min="9733" max="9733" width="12" style="111" customWidth="1"/>
    <col min="9734" max="9737" width="9.140625" style="111"/>
    <col min="9738" max="9738" width="9.42578125" style="111" customWidth="1"/>
    <col min="9739" max="9984" width="9.140625" style="111"/>
    <col min="9985" max="9985" width="30.85546875" style="111" customWidth="1"/>
    <col min="9986" max="9986" width="9.140625" style="111" customWidth="1"/>
    <col min="9987" max="9987" width="9.7109375" style="111" customWidth="1"/>
    <col min="9988" max="9988" width="15.140625" style="111" customWidth="1"/>
    <col min="9989" max="9989" width="12" style="111" customWidth="1"/>
    <col min="9990" max="9993" width="9.140625" style="111"/>
    <col min="9994" max="9994" width="9.42578125" style="111" customWidth="1"/>
    <col min="9995" max="10240" width="9.140625" style="111"/>
    <col min="10241" max="10241" width="30.85546875" style="111" customWidth="1"/>
    <col min="10242" max="10242" width="9.140625" style="111" customWidth="1"/>
    <col min="10243" max="10243" width="9.7109375" style="111" customWidth="1"/>
    <col min="10244" max="10244" width="15.140625" style="111" customWidth="1"/>
    <col min="10245" max="10245" width="12" style="111" customWidth="1"/>
    <col min="10246" max="10249" width="9.140625" style="111"/>
    <col min="10250" max="10250" width="9.42578125" style="111" customWidth="1"/>
    <col min="10251" max="10496" width="9.140625" style="111"/>
    <col min="10497" max="10497" width="30.85546875" style="111" customWidth="1"/>
    <col min="10498" max="10498" width="9.140625" style="111" customWidth="1"/>
    <col min="10499" max="10499" width="9.7109375" style="111" customWidth="1"/>
    <col min="10500" max="10500" width="15.140625" style="111" customWidth="1"/>
    <col min="10501" max="10501" width="12" style="111" customWidth="1"/>
    <col min="10502" max="10505" width="9.140625" style="111"/>
    <col min="10506" max="10506" width="9.42578125" style="111" customWidth="1"/>
    <col min="10507" max="10752" width="9.140625" style="111"/>
    <col min="10753" max="10753" width="30.85546875" style="111" customWidth="1"/>
    <col min="10754" max="10754" width="9.140625" style="111" customWidth="1"/>
    <col min="10755" max="10755" width="9.7109375" style="111" customWidth="1"/>
    <col min="10756" max="10756" width="15.140625" style="111" customWidth="1"/>
    <col min="10757" max="10757" width="12" style="111" customWidth="1"/>
    <col min="10758" max="10761" width="9.140625" style="111"/>
    <col min="10762" max="10762" width="9.42578125" style="111" customWidth="1"/>
    <col min="10763" max="11008" width="9.140625" style="111"/>
    <col min="11009" max="11009" width="30.85546875" style="111" customWidth="1"/>
    <col min="11010" max="11010" width="9.140625" style="111" customWidth="1"/>
    <col min="11011" max="11011" width="9.7109375" style="111" customWidth="1"/>
    <col min="11012" max="11012" width="15.140625" style="111" customWidth="1"/>
    <col min="11013" max="11013" width="12" style="111" customWidth="1"/>
    <col min="11014" max="11017" width="9.140625" style="111"/>
    <col min="11018" max="11018" width="9.42578125" style="111" customWidth="1"/>
    <col min="11019" max="11264" width="9.140625" style="111"/>
    <col min="11265" max="11265" width="30.85546875" style="111" customWidth="1"/>
    <col min="11266" max="11266" width="9.140625" style="111" customWidth="1"/>
    <col min="11267" max="11267" width="9.7109375" style="111" customWidth="1"/>
    <col min="11268" max="11268" width="15.140625" style="111" customWidth="1"/>
    <col min="11269" max="11269" width="12" style="111" customWidth="1"/>
    <col min="11270" max="11273" width="9.140625" style="111"/>
    <col min="11274" max="11274" width="9.42578125" style="111" customWidth="1"/>
    <col min="11275" max="11520" width="9.140625" style="111"/>
    <col min="11521" max="11521" width="30.85546875" style="111" customWidth="1"/>
    <col min="11522" max="11522" width="9.140625" style="111" customWidth="1"/>
    <col min="11523" max="11523" width="9.7109375" style="111" customWidth="1"/>
    <col min="11524" max="11524" width="15.140625" style="111" customWidth="1"/>
    <col min="11525" max="11525" width="12" style="111" customWidth="1"/>
    <col min="11526" max="11529" width="9.140625" style="111"/>
    <col min="11530" max="11530" width="9.42578125" style="111" customWidth="1"/>
    <col min="11531" max="11776" width="9.140625" style="111"/>
    <col min="11777" max="11777" width="30.85546875" style="111" customWidth="1"/>
    <col min="11778" max="11778" width="9.140625" style="111" customWidth="1"/>
    <col min="11779" max="11779" width="9.7109375" style="111" customWidth="1"/>
    <col min="11780" max="11780" width="15.140625" style="111" customWidth="1"/>
    <col min="11781" max="11781" width="12" style="111" customWidth="1"/>
    <col min="11782" max="11785" width="9.140625" style="111"/>
    <col min="11786" max="11786" width="9.42578125" style="111" customWidth="1"/>
    <col min="11787" max="12032" width="9.140625" style="111"/>
    <col min="12033" max="12033" width="30.85546875" style="111" customWidth="1"/>
    <col min="12034" max="12034" width="9.140625" style="111" customWidth="1"/>
    <col min="12035" max="12035" width="9.7109375" style="111" customWidth="1"/>
    <col min="12036" max="12036" width="15.140625" style="111" customWidth="1"/>
    <col min="12037" max="12037" width="12" style="111" customWidth="1"/>
    <col min="12038" max="12041" width="9.140625" style="111"/>
    <col min="12042" max="12042" width="9.42578125" style="111" customWidth="1"/>
    <col min="12043" max="12288" width="9.140625" style="111"/>
    <col min="12289" max="12289" width="30.85546875" style="111" customWidth="1"/>
    <col min="12290" max="12290" width="9.140625" style="111" customWidth="1"/>
    <col min="12291" max="12291" width="9.7109375" style="111" customWidth="1"/>
    <col min="12292" max="12292" width="15.140625" style="111" customWidth="1"/>
    <col min="12293" max="12293" width="12" style="111" customWidth="1"/>
    <col min="12294" max="12297" width="9.140625" style="111"/>
    <col min="12298" max="12298" width="9.42578125" style="111" customWidth="1"/>
    <col min="12299" max="12544" width="9.140625" style="111"/>
    <col min="12545" max="12545" width="30.85546875" style="111" customWidth="1"/>
    <col min="12546" max="12546" width="9.140625" style="111" customWidth="1"/>
    <col min="12547" max="12547" width="9.7109375" style="111" customWidth="1"/>
    <col min="12548" max="12548" width="15.140625" style="111" customWidth="1"/>
    <col min="12549" max="12549" width="12" style="111" customWidth="1"/>
    <col min="12550" max="12553" width="9.140625" style="111"/>
    <col min="12554" max="12554" width="9.42578125" style="111" customWidth="1"/>
    <col min="12555" max="12800" width="9.140625" style="111"/>
    <col min="12801" max="12801" width="30.85546875" style="111" customWidth="1"/>
    <col min="12802" max="12802" width="9.140625" style="111" customWidth="1"/>
    <col min="12803" max="12803" width="9.7109375" style="111" customWidth="1"/>
    <col min="12804" max="12804" width="15.140625" style="111" customWidth="1"/>
    <col min="12805" max="12805" width="12" style="111" customWidth="1"/>
    <col min="12806" max="12809" width="9.140625" style="111"/>
    <col min="12810" max="12810" width="9.42578125" style="111" customWidth="1"/>
    <col min="12811" max="13056" width="9.140625" style="111"/>
    <col min="13057" max="13057" width="30.85546875" style="111" customWidth="1"/>
    <col min="13058" max="13058" width="9.140625" style="111" customWidth="1"/>
    <col min="13059" max="13059" width="9.7109375" style="111" customWidth="1"/>
    <col min="13060" max="13060" width="15.140625" style="111" customWidth="1"/>
    <col min="13061" max="13061" width="12" style="111" customWidth="1"/>
    <col min="13062" max="13065" width="9.140625" style="111"/>
    <col min="13066" max="13066" width="9.42578125" style="111" customWidth="1"/>
    <col min="13067" max="13312" width="9.140625" style="111"/>
    <col min="13313" max="13313" width="30.85546875" style="111" customWidth="1"/>
    <col min="13314" max="13314" width="9.140625" style="111" customWidth="1"/>
    <col min="13315" max="13315" width="9.7109375" style="111" customWidth="1"/>
    <col min="13316" max="13316" width="15.140625" style="111" customWidth="1"/>
    <col min="13317" max="13317" width="12" style="111" customWidth="1"/>
    <col min="13318" max="13321" width="9.140625" style="111"/>
    <col min="13322" max="13322" width="9.42578125" style="111" customWidth="1"/>
    <col min="13323" max="13568" width="9.140625" style="111"/>
    <col min="13569" max="13569" width="30.85546875" style="111" customWidth="1"/>
    <col min="13570" max="13570" width="9.140625" style="111" customWidth="1"/>
    <col min="13571" max="13571" width="9.7109375" style="111" customWidth="1"/>
    <col min="13572" max="13572" width="15.140625" style="111" customWidth="1"/>
    <col min="13573" max="13573" width="12" style="111" customWidth="1"/>
    <col min="13574" max="13577" width="9.140625" style="111"/>
    <col min="13578" max="13578" width="9.42578125" style="111" customWidth="1"/>
    <col min="13579" max="13824" width="9.140625" style="111"/>
    <col min="13825" max="13825" width="30.85546875" style="111" customWidth="1"/>
    <col min="13826" max="13826" width="9.140625" style="111" customWidth="1"/>
    <col min="13827" max="13827" width="9.7109375" style="111" customWidth="1"/>
    <col min="13828" max="13828" width="15.140625" style="111" customWidth="1"/>
    <col min="13829" max="13829" width="12" style="111" customWidth="1"/>
    <col min="13830" max="13833" width="9.140625" style="111"/>
    <col min="13834" max="13834" width="9.42578125" style="111" customWidth="1"/>
    <col min="13835" max="14080" width="9.140625" style="111"/>
    <col min="14081" max="14081" width="30.85546875" style="111" customWidth="1"/>
    <col min="14082" max="14082" width="9.140625" style="111" customWidth="1"/>
    <col min="14083" max="14083" width="9.7109375" style="111" customWidth="1"/>
    <col min="14084" max="14084" width="15.140625" style="111" customWidth="1"/>
    <col min="14085" max="14085" width="12" style="111" customWidth="1"/>
    <col min="14086" max="14089" width="9.140625" style="111"/>
    <col min="14090" max="14090" width="9.42578125" style="111" customWidth="1"/>
    <col min="14091" max="14336" width="9.140625" style="111"/>
    <col min="14337" max="14337" width="30.85546875" style="111" customWidth="1"/>
    <col min="14338" max="14338" width="9.140625" style="111" customWidth="1"/>
    <col min="14339" max="14339" width="9.7109375" style="111" customWidth="1"/>
    <col min="14340" max="14340" width="15.140625" style="111" customWidth="1"/>
    <col min="14341" max="14341" width="12" style="111" customWidth="1"/>
    <col min="14342" max="14345" width="9.140625" style="111"/>
    <col min="14346" max="14346" width="9.42578125" style="111" customWidth="1"/>
    <col min="14347" max="14592" width="9.140625" style="111"/>
    <col min="14593" max="14593" width="30.85546875" style="111" customWidth="1"/>
    <col min="14594" max="14594" width="9.140625" style="111" customWidth="1"/>
    <col min="14595" max="14595" width="9.7109375" style="111" customWidth="1"/>
    <col min="14596" max="14596" width="15.140625" style="111" customWidth="1"/>
    <col min="14597" max="14597" width="12" style="111" customWidth="1"/>
    <col min="14598" max="14601" width="9.140625" style="111"/>
    <col min="14602" max="14602" width="9.42578125" style="111" customWidth="1"/>
    <col min="14603" max="14848" width="9.140625" style="111"/>
    <col min="14849" max="14849" width="30.85546875" style="111" customWidth="1"/>
    <col min="14850" max="14850" width="9.140625" style="111" customWidth="1"/>
    <col min="14851" max="14851" width="9.7109375" style="111" customWidth="1"/>
    <col min="14852" max="14852" width="15.140625" style="111" customWidth="1"/>
    <col min="14853" max="14853" width="12" style="111" customWidth="1"/>
    <col min="14854" max="14857" width="9.140625" style="111"/>
    <col min="14858" max="14858" width="9.42578125" style="111" customWidth="1"/>
    <col min="14859" max="15104" width="9.140625" style="111"/>
    <col min="15105" max="15105" width="30.85546875" style="111" customWidth="1"/>
    <col min="15106" max="15106" width="9.140625" style="111" customWidth="1"/>
    <col min="15107" max="15107" width="9.7109375" style="111" customWidth="1"/>
    <col min="15108" max="15108" width="15.140625" style="111" customWidth="1"/>
    <col min="15109" max="15109" width="12" style="111" customWidth="1"/>
    <col min="15110" max="15113" width="9.140625" style="111"/>
    <col min="15114" max="15114" width="9.42578125" style="111" customWidth="1"/>
    <col min="15115" max="15360" width="9.140625" style="111"/>
    <col min="15361" max="15361" width="30.85546875" style="111" customWidth="1"/>
    <col min="15362" max="15362" width="9.140625" style="111" customWidth="1"/>
    <col min="15363" max="15363" width="9.7109375" style="111" customWidth="1"/>
    <col min="15364" max="15364" width="15.140625" style="111" customWidth="1"/>
    <col min="15365" max="15365" width="12" style="111" customWidth="1"/>
    <col min="15366" max="15369" width="9.140625" style="111"/>
    <col min="15370" max="15370" width="9.42578125" style="111" customWidth="1"/>
    <col min="15371" max="15616" width="9.140625" style="111"/>
    <col min="15617" max="15617" width="30.85546875" style="111" customWidth="1"/>
    <col min="15618" max="15618" width="9.140625" style="111" customWidth="1"/>
    <col min="15619" max="15619" width="9.7109375" style="111" customWidth="1"/>
    <col min="15620" max="15620" width="15.140625" style="111" customWidth="1"/>
    <col min="15621" max="15621" width="12" style="111" customWidth="1"/>
    <col min="15622" max="15625" width="9.140625" style="111"/>
    <col min="15626" max="15626" width="9.42578125" style="111" customWidth="1"/>
    <col min="15627" max="15872" width="9.140625" style="111"/>
    <col min="15873" max="15873" width="30.85546875" style="111" customWidth="1"/>
    <col min="15874" max="15874" width="9.140625" style="111" customWidth="1"/>
    <col min="15875" max="15875" width="9.7109375" style="111" customWidth="1"/>
    <col min="15876" max="15876" width="15.140625" style="111" customWidth="1"/>
    <col min="15877" max="15877" width="12" style="111" customWidth="1"/>
    <col min="15878" max="15881" width="9.140625" style="111"/>
    <col min="15882" max="15882" width="9.42578125" style="111" customWidth="1"/>
    <col min="15883" max="16128" width="9.140625" style="111"/>
    <col min="16129" max="16129" width="30.85546875" style="111" customWidth="1"/>
    <col min="16130" max="16130" width="9.140625" style="111" customWidth="1"/>
    <col min="16131" max="16131" width="9.7109375" style="111" customWidth="1"/>
    <col min="16132" max="16132" width="15.140625" style="111" customWidth="1"/>
    <col min="16133" max="16133" width="12" style="111" customWidth="1"/>
    <col min="16134" max="16137" width="9.140625" style="111"/>
    <col min="16138" max="16138" width="9.42578125" style="111" customWidth="1"/>
    <col min="16139" max="16384" width="9.140625" style="111"/>
  </cols>
  <sheetData>
    <row r="1" spans="1:6" s="108" customFormat="1" x14ac:dyDescent="0.25">
      <c r="A1" s="106" t="str">
        <f>[2]SharedInputs!B4</f>
        <v>AVISTA UTILITIES</v>
      </c>
      <c r="B1" s="106"/>
      <c r="C1" s="106"/>
      <c r="D1" s="106"/>
      <c r="E1" s="107"/>
      <c r="F1" s="106"/>
    </row>
    <row r="2" spans="1:6" s="108" customFormat="1" x14ac:dyDescent="0.25">
      <c r="A2" s="106" t="s">
        <v>113</v>
      </c>
      <c r="B2" s="106"/>
      <c r="C2" s="106"/>
      <c r="D2" s="106"/>
      <c r="E2" s="109"/>
      <c r="F2" s="106"/>
    </row>
    <row r="3" spans="1:6" s="108" customFormat="1" x14ac:dyDescent="0.25">
      <c r="A3" s="106" t="s">
        <v>156</v>
      </c>
      <c r="B3" s="106"/>
      <c r="C3" s="106"/>
      <c r="D3" s="106"/>
      <c r="E3" s="106"/>
      <c r="F3" s="106"/>
    </row>
    <row r="4" spans="1:6" x14ac:dyDescent="0.25">
      <c r="A4" s="189" t="s">
        <v>157</v>
      </c>
      <c r="B4" s="110"/>
      <c r="C4" s="110"/>
      <c r="E4" s="110"/>
      <c r="F4" s="110"/>
    </row>
    <row r="5" spans="1:6" x14ac:dyDescent="0.25">
      <c r="A5" s="110"/>
      <c r="B5" s="110"/>
      <c r="C5" s="110"/>
      <c r="E5" s="110"/>
      <c r="F5" s="110"/>
    </row>
    <row r="6" spans="1:6" x14ac:dyDescent="0.25">
      <c r="A6" s="110" t="s">
        <v>114</v>
      </c>
      <c r="B6" s="110"/>
      <c r="C6" s="110"/>
      <c r="E6" s="110">
        <v>1</v>
      </c>
      <c r="F6" s="110"/>
    </row>
    <row r="7" spans="1:6" x14ac:dyDescent="0.25">
      <c r="A7" s="110"/>
      <c r="B7" s="110"/>
      <c r="C7" s="110"/>
      <c r="E7" s="110"/>
      <c r="F7" s="110"/>
    </row>
    <row r="8" spans="1:6" x14ac:dyDescent="0.25">
      <c r="A8" s="110" t="s">
        <v>58</v>
      </c>
      <c r="B8" s="110"/>
      <c r="C8" s="110"/>
      <c r="E8" s="110"/>
      <c r="F8" s="110"/>
    </row>
    <row r="9" spans="1:6" x14ac:dyDescent="0.25">
      <c r="A9" s="110"/>
      <c r="B9" s="110"/>
      <c r="C9" s="110"/>
      <c r="E9" s="110"/>
      <c r="F9" s="110"/>
    </row>
    <row r="10" spans="1:6" x14ac:dyDescent="0.25">
      <c r="A10" s="110" t="s">
        <v>115</v>
      </c>
      <c r="B10" s="110"/>
      <c r="C10" s="110"/>
      <c r="E10" s="110">
        <v>6.1824999999999996E-3</v>
      </c>
      <c r="F10" s="110"/>
    </row>
    <row r="11" spans="1:6" x14ac:dyDescent="0.25">
      <c r="A11" s="110"/>
      <c r="B11" s="110"/>
      <c r="C11" s="110"/>
      <c r="E11" s="110"/>
      <c r="F11" s="110"/>
    </row>
    <row r="12" spans="1:6" x14ac:dyDescent="0.25">
      <c r="A12" s="110" t="s">
        <v>116</v>
      </c>
      <c r="B12" s="110"/>
      <c r="C12" s="110"/>
      <c r="E12" s="110">
        <v>2E-3</v>
      </c>
      <c r="F12" s="110"/>
    </row>
    <row r="13" spans="1:6" x14ac:dyDescent="0.25">
      <c r="A13" s="110"/>
      <c r="B13" s="110"/>
      <c r="C13" s="110"/>
      <c r="E13" s="110"/>
      <c r="F13" s="110"/>
    </row>
    <row r="14" spans="1:6" x14ac:dyDescent="0.25">
      <c r="A14" s="110" t="s">
        <v>117</v>
      </c>
      <c r="B14" s="110"/>
      <c r="C14" s="110"/>
      <c r="E14" s="110">
        <v>3.8494500000000001E-2</v>
      </c>
      <c r="F14" s="110"/>
    </row>
    <row r="15" spans="1:6" x14ac:dyDescent="0.25">
      <c r="A15" s="110"/>
      <c r="B15" s="110"/>
      <c r="C15" s="110"/>
      <c r="E15" s="110"/>
      <c r="F15" s="110"/>
    </row>
    <row r="16" spans="1:6" x14ac:dyDescent="0.25">
      <c r="A16" s="110"/>
      <c r="B16" s="110"/>
      <c r="C16" s="110"/>
      <c r="E16" s="110"/>
    </row>
    <row r="17" spans="1:11" x14ac:dyDescent="0.25">
      <c r="A17" s="110" t="s">
        <v>59</v>
      </c>
      <c r="B17" s="110"/>
      <c r="C17" s="110"/>
      <c r="E17" s="112">
        <f>SUM(E9:E15)</f>
        <v>4.6676999999999996E-2</v>
      </c>
      <c r="F17" s="110"/>
      <c r="K17" s="113"/>
    </row>
    <row r="18" spans="1:11" ht="15.75" thickBot="1" x14ac:dyDescent="0.3">
      <c r="A18" s="110"/>
      <c r="B18" s="110"/>
      <c r="C18" s="110"/>
      <c r="E18" s="110"/>
    </row>
    <row r="19" spans="1:11" ht="16.5" thickTop="1" thickBot="1" x14ac:dyDescent="0.3">
      <c r="A19" s="110" t="s">
        <v>60</v>
      </c>
      <c r="B19" s="110"/>
      <c r="C19" s="110"/>
      <c r="E19" s="188">
        <f>E6-E17</f>
        <v>0.95332300000000003</v>
      </c>
      <c r="F19" s="110"/>
    </row>
    <row r="20" spans="1:11" ht="15.75" thickTop="1" x14ac:dyDescent="0.25">
      <c r="A20" s="110"/>
      <c r="B20" s="110"/>
      <c r="C20" s="110"/>
      <c r="E20" s="110"/>
      <c r="F20" s="110"/>
    </row>
    <row r="21" spans="1:11" x14ac:dyDescent="0.25">
      <c r="A21" s="110" t="s">
        <v>118</v>
      </c>
      <c r="B21" s="175">
        <v>0.21</v>
      </c>
      <c r="C21" s="114"/>
      <c r="E21" s="110">
        <f>E19*$B$21</f>
        <v>0.20019782999999999</v>
      </c>
      <c r="F21" s="110"/>
    </row>
    <row r="22" spans="1:11" x14ac:dyDescent="0.25">
      <c r="A22" s="110"/>
      <c r="B22" s="110"/>
      <c r="C22" s="110"/>
      <c r="E22" s="110"/>
      <c r="F22" s="110"/>
    </row>
    <row r="23" spans="1:11" x14ac:dyDescent="0.25">
      <c r="A23" s="110" t="s">
        <v>57</v>
      </c>
      <c r="B23" s="110"/>
      <c r="C23" s="110"/>
      <c r="E23" s="112">
        <f>E19-E21</f>
        <v>0.75312517000000001</v>
      </c>
      <c r="F23" s="110"/>
    </row>
    <row r="24" spans="1:11" x14ac:dyDescent="0.25">
      <c r="A24" s="110"/>
      <c r="B24" s="110"/>
      <c r="C24" s="110"/>
      <c r="E24" s="110"/>
      <c r="F24" s="110"/>
    </row>
    <row r="25" spans="1:11" x14ac:dyDescent="0.25">
      <c r="A25" s="110"/>
      <c r="B25" s="110"/>
      <c r="C25" s="110"/>
      <c r="E25" s="110"/>
      <c r="F25" s="110"/>
    </row>
    <row r="26" spans="1:11" x14ac:dyDescent="0.25">
      <c r="A26" s="110"/>
      <c r="B26" s="110"/>
      <c r="C26" s="110"/>
      <c r="D26" s="110"/>
      <c r="E26" s="110"/>
      <c r="F26" s="110"/>
    </row>
    <row r="31" spans="1:11" x14ac:dyDescent="0.25">
      <c r="G31" s="124"/>
    </row>
    <row r="39" spans="2:3" x14ac:dyDescent="0.25">
      <c r="B39" s="122"/>
    </row>
    <row r="40" spans="2:3" x14ac:dyDescent="0.25">
      <c r="C40" s="116"/>
    </row>
    <row r="41" spans="2:3" x14ac:dyDescent="0.25">
      <c r="C41" s="119"/>
    </row>
    <row r="42" spans="2:3" x14ac:dyDescent="0.25">
      <c r="C42" s="119"/>
    </row>
    <row r="47" spans="2:3" x14ac:dyDescent="0.25">
      <c r="B47" s="111" t="s">
        <v>120</v>
      </c>
    </row>
  </sheetData>
  <pageMargins left="0.7" right="0.7" top="0.75" bottom="0.75" header="0.3" footer="0.3"/>
  <pageSetup scale="73" orientation="landscape" r:id="rId1"/>
  <headerFooter>
    <oddFooter>&amp;L&amp;F&amp;RPage: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xxe4awand xmlns="http://www.excel4apps.com"><![CDATA[rO0ABXfiCMCtii8CBwIDAh4AAERjb20uZXhjZWw0YXBwcy53YW5kLm9yYWNsZS5n
bHdhbmQuY2FsY3VsYXRpb25zLmdldGJhbGFuY2UuR2V0QmFsYW5jZQIBAAkxNjU5
OTEyODACAgABMAIDAAYyMDE3MDECBAADWVREAgUAA1VTRAIGAAVUb3RhbAIHAAFB
AggAAAIJAAMwMDECCgAUMTg2MzIyLDE4NjMyMywxODYzMjQCCwABJQILAgwAAkRM
AggCCAIIAggCCAIIAggCCAIIAggCCAIIAggCCAIIAggCCAIBAgMCDXNyAg4AFGph
dmEubWF0aC5CaWdEZWNpbWFsVMcVV/mBKE8DAAJJAg8ABXNjYWxlTAIQAAZpbnRW
YWx0ABZMamF2YS9tYXRoL0JpZ0ludGVnZXI7eHICEQAQamF2YS5sYW5nLk51bWJl
coaslR0LlOCLAgAAeHAAAAACc3ICEgAUamF2YS5tYXRoLkJpZ0ludGVnZXKM/J8f
qTv7HQMABkkCEwAIYml0Q291bnRJAhQACWJpdExlbmd0aEkCFQATZmlyc3ROb256
ZXJvQnl0ZU51bUkCFgAMbG93ZXN0U2V0Qml0SQIXAAZzaWdudW1bAhgACW1hZ25p
dHVkZXQAAltCeHEAfgAC///////////////+/////gAAAAF1cgIZAAJbQqzzF/gG
CFTgAgAAeHAAAAADTp3SeHh3TQIeAAIBAgICGgAGMjAxNzAyAgQCBQIGAgcCCAIJ
AgoCCwILAgwCCAIIAggCCAIIAggCCAIIAggCCAIIAggCCAIIAggCCAIIAgECAwIb
c3EAfgAAAAAAAnNxAH4ABP///////////////v////4AAAABdXEAfgAHAAAABAFn
+x54eHdNAh4AAgECAgIcAAYyMDE2MTICBAIFAgYCBwIIAgkCCgILAgsCDAIIAggC
CAIIAggCCAIIAggCCAIIAggCCAIIAggCCAIIAggCAQIDAh1zcQB+AAAAAAACc3EA
fgAE///////////////+/////gAAAAF1cQB+AAcAAAAEAtAGNnh4]]></xxe4awand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994E5CAA8536F49AF2395FFE085D2B0" ma:contentTypeVersion="56" ma:contentTypeDescription="" ma:contentTypeScope="" ma:versionID="276b6c77349d502a49ccdb75d4f656b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2019-03-29T07:00:00+00:00</OpenedDate>
    <SignificantOrder xmlns="dc463f71-b30c-4ab2-9473-d307f9d35888">false</SignificantOrder>
    <Date1 xmlns="dc463f71-b30c-4ab2-9473-d307f9d35888">2019-03-29T07:00:00+00:00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190208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6A92EDB-1E1F-4518-94D6-F337E804A242}">
  <ds:schemaRefs>
    <ds:schemaRef ds:uri="http://www.excel4apps.com"/>
  </ds:schemaRefs>
</ds:datastoreItem>
</file>

<file path=customXml/itemProps2.xml><?xml version="1.0" encoding="utf-8"?>
<ds:datastoreItem xmlns:ds="http://schemas.openxmlformats.org/officeDocument/2006/customXml" ds:itemID="{8BB96CBE-8BA0-4CEC-8FE7-667C2F67E1D6}"/>
</file>

<file path=customXml/itemProps3.xml><?xml version="1.0" encoding="utf-8"?>
<ds:datastoreItem xmlns:ds="http://schemas.openxmlformats.org/officeDocument/2006/customXml" ds:itemID="{ADAABD35-F207-41C8-8DC1-8517253DC344}"/>
</file>

<file path=customXml/itemProps4.xml><?xml version="1.0" encoding="utf-8"?>
<ds:datastoreItem xmlns:ds="http://schemas.openxmlformats.org/officeDocument/2006/customXml" ds:itemID="{1F41B950-6C29-4A77-99D4-8D69CAF58B3E}"/>
</file>

<file path=customXml/itemProps5.xml><?xml version="1.0" encoding="utf-8"?>
<ds:datastoreItem xmlns:ds="http://schemas.openxmlformats.org/officeDocument/2006/customXml" ds:itemID="{A47346FE-9F12-486A-9890-B6807DC839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Rate Design</vt:lpstr>
      <vt:lpstr>3-2019 thru 6-2019 RECs</vt:lpstr>
      <vt:lpstr>7-2019 thru 6-2020 RECs</vt:lpstr>
      <vt:lpstr>Forecast Balance</vt:lpstr>
      <vt:lpstr>Forecasted Revenue</vt:lpstr>
      <vt:lpstr>kWh Forecast</vt:lpstr>
      <vt:lpstr>CF WA Elec</vt:lpstr>
      <vt:lpstr>'Forecast Balance'!Print_Area</vt:lpstr>
      <vt:lpstr>'Forecasted Revenue'!Print_Area</vt:lpstr>
      <vt:lpstr>'kWh Forecast'!Print_Area</vt:lpstr>
      <vt:lpstr>'Rate Design'!Print_Area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bj4046</dc:creator>
  <cp:lastModifiedBy>annette brandon</cp:lastModifiedBy>
  <cp:lastPrinted>2019-03-18T19:15:35Z</cp:lastPrinted>
  <dcterms:created xsi:type="dcterms:W3CDTF">2016-02-09T19:01:57Z</dcterms:created>
  <dcterms:modified xsi:type="dcterms:W3CDTF">2019-03-19T18:21:26Z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0x0101006E56B4D1795A2E4DB2F0B01679ED314A00E994E5CAA8536F49AF2395FFE085D2B0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